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<sst xmlns="http://schemas.openxmlformats.org/spreadsheetml/2006/main" count="85" uniqueCount="66">
  <si>
    <t>f, Hz</t>
  </si>
  <si>
    <t>Woofer Response, dB</t>
  </si>
  <si>
    <t>Woofer response</t>
  </si>
  <si>
    <t>Tweeter Response, dB</t>
  </si>
  <si>
    <t>Tweeter response</t>
  </si>
  <si>
    <t>tweeter coeff, dB:</t>
  </si>
  <si>
    <t>Woofer Coeff:</t>
  </si>
  <si>
    <t>LP Freq:</t>
  </si>
  <si>
    <t>HP Freq:</t>
  </si>
  <si>
    <t>dB</t>
  </si>
  <si>
    <t>dB norm</t>
  </si>
  <si>
    <t>level</t>
  </si>
  <si>
    <t>Response w/o filter</t>
  </si>
  <si>
    <t>LP1 filter</t>
  </si>
  <si>
    <t>LP2 filter</t>
  </si>
  <si>
    <t>HP2 filter</t>
  </si>
  <si>
    <t>filtered woofer response</t>
  </si>
  <si>
    <t>filtered tweeter response</t>
  </si>
  <si>
    <t>overall response</t>
  </si>
  <si>
    <t>2nd order</t>
  </si>
  <si>
    <t>Llp, mH</t>
  </si>
  <si>
    <t>Clp, uF</t>
  </si>
  <si>
    <t>Lhp, mH</t>
  </si>
  <si>
    <t>Chp, uF</t>
  </si>
  <si>
    <t>f,rad/s</t>
  </si>
  <si>
    <t>LPF, dB</t>
  </si>
  <si>
    <t>HPF, dB</t>
  </si>
  <si>
    <t>Filter characteristics</t>
  </si>
  <si>
    <t>LPFphase</t>
  </si>
  <si>
    <t>HPFphase</t>
  </si>
  <si>
    <t>Zlo.c, ohms</t>
  </si>
  <si>
    <t>Zhi.c, ohms</t>
  </si>
  <si>
    <t>SPK</t>
  </si>
  <si>
    <t>Rseries</t>
  </si>
  <si>
    <t>Max twtr response:</t>
  </si>
  <si>
    <t>Max woof response:</t>
  </si>
  <si>
    <t>2nd order BESSEL</t>
  </si>
  <si>
    <t>(-6db)</t>
  </si>
  <si>
    <t>(-6dB)</t>
  </si>
  <si>
    <t>Lwoof, uH:</t>
  </si>
  <si>
    <t>Ltw, uH:</t>
  </si>
  <si>
    <t>Compens.</t>
  </si>
  <si>
    <t>Circuits:</t>
  </si>
  <si>
    <t>Rlo, Ohm</t>
  </si>
  <si>
    <t>Clo, uF</t>
  </si>
  <si>
    <t>Rhi, Ohm</t>
  </si>
  <si>
    <t>Chi, uF</t>
  </si>
  <si>
    <t>LPFGood</t>
  </si>
  <si>
    <t>HPFGood</t>
  </si>
  <si>
    <t>Phase +</t>
  </si>
  <si>
    <t>Phase -</t>
  </si>
  <si>
    <t>Phase Low</t>
  </si>
  <si>
    <t>Phase Hi</t>
  </si>
  <si>
    <t>PhaseWoof</t>
  </si>
  <si>
    <t>PhaseTw</t>
  </si>
  <si>
    <t>f , Hz</t>
  </si>
  <si>
    <t>MG18SK</t>
  </si>
  <si>
    <t>TC20TD05</t>
  </si>
  <si>
    <t>Phase (+)</t>
  </si>
  <si>
    <t>Sound speed, m/s:</t>
  </si>
  <si>
    <t>Distance, cm:</t>
  </si>
  <si>
    <t>Phase shift</t>
  </si>
  <si>
    <t>Res. Phase</t>
  </si>
  <si>
    <t>COS(fi)</t>
  </si>
  <si>
    <t>Delta fi</t>
  </si>
  <si>
    <t>Distance, cm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</si>
</sst>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21">
    <font>
      <sz val="10"/>
      <name val="Arial"/>
      <family val="0"/>
    </font>
    <font>
      <sz val="6.5"/>
      <name val="Arial"/>
      <family val="2"/>
    </font>
    <font>
      <sz val="8.75"/>
      <name val="Arial"/>
      <family val="2"/>
    </font>
    <font>
      <sz val="18.5"/>
      <name val="Arial"/>
      <family val="0"/>
    </font>
    <font>
      <b/>
      <sz val="20.75"/>
      <name val="Arial"/>
      <family val="0"/>
    </font>
    <font>
      <sz val="20.75"/>
      <name val="Arial"/>
      <family val="0"/>
    </font>
    <font>
      <sz val="7.75"/>
      <name val="Arial"/>
      <family val="2"/>
    </font>
    <font>
      <sz val="22.75"/>
      <name val="Arial"/>
      <family val="0"/>
    </font>
    <font>
      <b/>
      <sz val="20"/>
      <name val="Arial"/>
      <family val="0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4.75"/>
      <name val="Arial"/>
      <family val="0"/>
    </font>
    <font>
      <b/>
      <sz val="14.5"/>
      <name val="Arial"/>
      <family val="0"/>
    </font>
    <font>
      <sz val="14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2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2" borderId="0" xfId="0" applyFont="1" applyFill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173" fontId="12" fillId="0" borderId="0" xfId="0" applyNumberFormat="1" applyFont="1" applyFill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" xfId="0" applyBorder="1" applyAlignment="1">
      <alignment/>
    </xf>
    <xf numFmtId="2" fontId="13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174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0" fontId="13" fillId="2" borderId="0" xfId="0" applyFont="1" applyFill="1" applyAlignment="1">
      <alignment/>
    </xf>
    <xf numFmtId="0" fontId="1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magnitude w/o filter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125"/>
          <c:w val="0.913"/>
          <c:h val="0.776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Sheet1!$A$6:$A$39</c:f>
              <c:numCache>
                <c:ptCount val="34"/>
                <c:pt idx="0">
                  <c:v>12.5</c:v>
                </c:pt>
                <c:pt idx="1">
                  <c:v>15.749013125</c:v>
                </c:pt>
                <c:pt idx="2">
                  <c:v>19.84251315291378</c:v>
                </c:pt>
                <c:pt idx="3">
                  <c:v>25.00000000625794</c:v>
                </c:pt>
                <c:pt idx="4">
                  <c:v>31.49802625788451</c:v>
                </c:pt>
                <c:pt idx="5">
                  <c:v>39.68502631576143</c:v>
                </c:pt>
                <c:pt idx="6">
                  <c:v>50.00000002503177</c:v>
                </c:pt>
                <c:pt idx="7">
                  <c:v>62.99605253153805</c:v>
                </c:pt>
                <c:pt idx="8">
                  <c:v>79.37005265139058</c:v>
                </c:pt>
                <c:pt idx="9">
                  <c:v>100.0000000750953</c:v>
                </c:pt>
                <c:pt idx="10">
                  <c:v>125.99210509461415</c:v>
                </c:pt>
                <c:pt idx="11">
                  <c:v>158.7401053425166</c:v>
                </c:pt>
                <c:pt idx="12">
                  <c:v>200.00000020025414</c:v>
                </c:pt>
                <c:pt idx="13">
                  <c:v>251.9842102523044</c:v>
                </c:pt>
                <c:pt idx="14">
                  <c:v>317.48021076450414</c:v>
                </c:pt>
                <c:pt idx="15">
                  <c:v>400.00000050063534</c:v>
                </c:pt>
                <c:pt idx="16">
                  <c:v>503.968420630761</c:v>
                </c:pt>
                <c:pt idx="17">
                  <c:v>634.9604216879501</c:v>
                </c:pt>
                <c:pt idx="18">
                  <c:v>800.0000012015248</c:v>
                </c:pt>
                <c:pt idx="19">
                  <c:v>1007.9368415138264</c:v>
                </c:pt>
                <c:pt idx="20">
                  <c:v>1269.9208436937838</c:v>
                </c:pt>
                <c:pt idx="21">
                  <c:v>1600.000002803558</c:v>
                </c:pt>
                <c:pt idx="22">
                  <c:v>2015.8736835322616</c:v>
                </c:pt>
                <c:pt idx="23">
                  <c:v>2539.841688023335</c:v>
                </c:pt>
                <c:pt idx="24">
                  <c:v>3200.0000064081323</c:v>
                </c:pt>
                <c:pt idx="25">
                  <c:v>4031.7473680737407</c:v>
                </c:pt>
                <c:pt idx="26">
                  <c:v>5079.683377318204</c:v>
                </c:pt>
                <c:pt idx="27">
                  <c:v>6400.000014418298</c:v>
                </c:pt>
                <c:pt idx="28">
                  <c:v>8063.494738165917</c:v>
                </c:pt>
                <c:pt idx="29">
                  <c:v>10159.366757179478</c:v>
                </c:pt>
                <c:pt idx="30">
                  <c:v>12800.000032040662</c:v>
                </c:pt>
                <c:pt idx="31">
                  <c:v>16126.989480368704</c:v>
                </c:pt>
                <c:pt idx="32">
                  <c:v>20318.73351944509</c:v>
                </c:pt>
                <c:pt idx="33">
                  <c:v>25600.000070489452</c:v>
                </c:pt>
              </c:numCache>
            </c:numRef>
          </c:xVal>
          <c:yVal>
            <c:numRef>
              <c:f>Sheet1!$L$6:$L$39</c:f>
              <c:numCache>
                <c:ptCount val="34"/>
                <c:pt idx="0">
                  <c:v>60.02304185393922</c:v>
                </c:pt>
                <c:pt idx="1">
                  <c:v>67.01631870011825</c:v>
                </c:pt>
                <c:pt idx="2">
                  <c:v>73.01296490772202</c:v>
                </c:pt>
                <c:pt idx="3">
                  <c:v>79.01029997257322</c:v>
                </c:pt>
                <c:pt idx="4">
                  <c:v>79.01631870011825</c:v>
                </c:pt>
                <c:pt idx="5">
                  <c:v>82.01830778560726</c:v>
                </c:pt>
                <c:pt idx="6">
                  <c:v>81.0325297028881</c:v>
                </c:pt>
                <c:pt idx="7">
                  <c:v>86.0289980263847</c:v>
                </c:pt>
                <c:pt idx="8">
                  <c:v>86.04093265121419</c:v>
                </c:pt>
                <c:pt idx="9">
                  <c:v>86.05776286437776</c:v>
                </c:pt>
                <c:pt idx="10">
                  <c:v>88.07265674008818</c:v>
                </c:pt>
                <c:pt idx="11">
                  <c:v>88.10245418916288</c:v>
                </c:pt>
                <c:pt idx="12">
                  <c:v>88.14437078706872</c:v>
                </c:pt>
                <c:pt idx="13">
                  <c:v>88.2032369931858</c:v>
                </c:pt>
                <c:pt idx="14">
                  <c:v>88.80235201435497</c:v>
                </c:pt>
                <c:pt idx="15">
                  <c:v>89.03059267828162</c:v>
                </c:pt>
                <c:pt idx="16">
                  <c:v>89.05420754874541</c:v>
                </c:pt>
                <c:pt idx="17">
                  <c:v>89.20923848680783</c:v>
                </c:pt>
                <c:pt idx="18">
                  <c:v>90.0461442951793</c:v>
                </c:pt>
                <c:pt idx="19">
                  <c:v>91.05344076804175</c:v>
                </c:pt>
                <c:pt idx="20">
                  <c:v>92.85406175877685</c:v>
                </c:pt>
                <c:pt idx="21">
                  <c:v>95.41388842555642</c:v>
                </c:pt>
                <c:pt idx="22">
                  <c:v>95.01339576396938</c:v>
                </c:pt>
                <c:pt idx="23">
                  <c:v>94.2667856732279</c:v>
                </c:pt>
                <c:pt idx="24">
                  <c:v>94.01339576396937</c:v>
                </c:pt>
                <c:pt idx="25">
                  <c:v>93.5635811618053</c:v>
                </c:pt>
                <c:pt idx="26">
                  <c:v>93.07000752660379</c:v>
                </c:pt>
                <c:pt idx="27">
                  <c:v>93.7951149156309</c:v>
                </c:pt>
                <c:pt idx="28">
                  <c:v>93.14104497549792</c:v>
                </c:pt>
                <c:pt idx="29">
                  <c:v>91.54600161439136</c:v>
                </c:pt>
                <c:pt idx="30">
                  <c:v>91.04600161439137</c:v>
                </c:pt>
                <c:pt idx="31">
                  <c:v>89.91071318387021</c:v>
                </c:pt>
                <c:pt idx="32">
                  <c:v>87.36577136363378</c:v>
                </c:pt>
                <c:pt idx="33">
                  <c:v>87.60083826546028</c:v>
                </c:pt>
              </c:numCache>
            </c:numRef>
          </c:yVal>
          <c:smooth val="1"/>
        </c:ser>
        <c:axId val="24355417"/>
        <c:axId val="17872162"/>
      </c:scatterChart>
      <c:valAx>
        <c:axId val="24355417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f,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cross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872162"/>
        <c:crossesAt val="80"/>
        <c:crossBetween val="midCat"/>
        <c:dispUnits/>
        <c:majorUnit val="10"/>
        <c:minorUnit val="10"/>
      </c:valAx>
      <c:valAx>
        <c:axId val="17872162"/>
        <c:scaling>
          <c:orientation val="minMax"/>
          <c:max val="96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magnitude,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4355417"/>
        <c:crossesAt val="10"/>
        <c:crossBetween val="midCat"/>
        <c:dispUnits/>
        <c:majorUnit val="3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325"/>
          <c:w val="0.9815"/>
          <c:h val="0.9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Sheet1!$X$2:$X$3</c:f>
              <c:strCache>
                <c:ptCount val="1"/>
                <c:pt idx="0">
                  <c:v>overall response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Sheet1!$A$6:$A$39</c:f>
              <c:numCache/>
            </c:numRef>
          </c:xVal>
          <c:yVal>
            <c:numRef>
              <c:f>Sheet1!$X$6:$X$39</c:f>
              <c:numCache/>
            </c:numRef>
          </c:yVal>
          <c:smooth val="1"/>
        </c:ser>
        <c:ser>
          <c:idx val="1"/>
          <c:order val="1"/>
          <c:tx>
            <c:v>woofer response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Sheet1!$A$6:$A$39</c:f>
              <c:numCache/>
            </c:numRef>
          </c:xVal>
          <c:yVal>
            <c:numRef>
              <c:f>Sheet1!$E$6:$E$39</c:f>
              <c:numCache/>
            </c:numRef>
          </c:yVal>
          <c:smooth val="1"/>
        </c:ser>
        <c:ser>
          <c:idx val="2"/>
          <c:order val="2"/>
          <c:tx>
            <c:v>tweeter response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Sheet1!$A$6:$A$39</c:f>
              <c:numCache/>
            </c:numRef>
          </c:xVal>
          <c:yVal>
            <c:numRef>
              <c:f>Sheet1!$H$6:$H$39</c:f>
              <c:numCache/>
            </c:numRef>
          </c:yVal>
          <c:smooth val="1"/>
        </c:ser>
        <c:ser>
          <c:idx val="3"/>
          <c:order val="3"/>
          <c:tx>
            <c:v>filtered woofer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808000"/>
                </a:solidFill>
              </a:ln>
            </c:spPr>
          </c:marker>
          <c:xVal>
            <c:numRef>
              <c:f>Sheet1!$A$6:$A$39</c:f>
              <c:numCache/>
            </c:numRef>
          </c:xVal>
          <c:yVal>
            <c:numRef>
              <c:f>Sheet1!$R$6:$R$39</c:f>
              <c:numCache/>
            </c:numRef>
          </c:yVal>
          <c:smooth val="1"/>
        </c:ser>
        <c:ser>
          <c:idx val="4"/>
          <c:order val="4"/>
          <c:tx>
            <c:v>filtered tweeter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Sheet1!$A$6:$A$39</c:f>
              <c:numCache/>
            </c:numRef>
          </c:xVal>
          <c:yVal>
            <c:numRef>
              <c:f>Sheet1!$U$6:$U$39</c:f>
              <c:numCache/>
            </c:numRef>
          </c:yVal>
          <c:smooth val="1"/>
        </c:ser>
        <c:axId val="26631731"/>
        <c:axId val="38358988"/>
      </c:scatterChart>
      <c:valAx>
        <c:axId val="26631731"/>
        <c:scaling>
          <c:logBase val="10"/>
          <c:orientation val="minMax"/>
          <c:max val="100000"/>
          <c:min val="100"/>
        </c:scaling>
        <c:axPos val="b"/>
        <c:majorGridlines/>
        <c:minorGridlines/>
        <c:delete val="0"/>
        <c:numFmt formatCode="General" sourceLinked="1"/>
        <c:majorTickMark val="in"/>
        <c:minorTickMark val="cross"/>
        <c:tickLblPos val="low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8358988"/>
        <c:crossesAt val="81"/>
        <c:crossBetween val="midCat"/>
        <c:dispUnits/>
        <c:majorUnit val="10"/>
        <c:minorUnit val="10"/>
      </c:valAx>
      <c:valAx>
        <c:axId val="38358988"/>
        <c:scaling>
          <c:orientation val="minMax"/>
          <c:max val="91"/>
          <c:min val="8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731"/>
        <c:crosses val="autoZero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0105"/>
          <c:w val="0.32075"/>
          <c:h val="0.128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3"/>
          <c:y val="0.0275"/>
          <c:w val="0.90475"/>
          <c:h val="0.864"/>
        </c:manualLayout>
      </c:layout>
      <c:scatterChart>
        <c:scatterStyle val="smooth"/>
        <c:varyColors val="0"/>
        <c:ser>
          <c:idx val="0"/>
          <c:order val="0"/>
          <c:tx>
            <c:v>LPF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Sheet1!$A$6:$A$39</c:f>
              <c:numCache>
                <c:ptCount val="34"/>
                <c:pt idx="0">
                  <c:v>12.5</c:v>
                </c:pt>
                <c:pt idx="1">
                  <c:v>15.749013125</c:v>
                </c:pt>
                <c:pt idx="2">
                  <c:v>19.84251315291378</c:v>
                </c:pt>
                <c:pt idx="3">
                  <c:v>25.00000000625794</c:v>
                </c:pt>
                <c:pt idx="4">
                  <c:v>31.49802625788451</c:v>
                </c:pt>
                <c:pt idx="5">
                  <c:v>39.68502631576143</c:v>
                </c:pt>
                <c:pt idx="6">
                  <c:v>50.00000002503177</c:v>
                </c:pt>
                <c:pt idx="7">
                  <c:v>62.99605253153805</c:v>
                </c:pt>
                <c:pt idx="8">
                  <c:v>79.37005265139058</c:v>
                </c:pt>
                <c:pt idx="9">
                  <c:v>100.0000000750953</c:v>
                </c:pt>
                <c:pt idx="10">
                  <c:v>125.99210509461415</c:v>
                </c:pt>
                <c:pt idx="11">
                  <c:v>158.7401053425166</c:v>
                </c:pt>
                <c:pt idx="12">
                  <c:v>200.00000020025414</c:v>
                </c:pt>
                <c:pt idx="13">
                  <c:v>251.9842102523044</c:v>
                </c:pt>
                <c:pt idx="14">
                  <c:v>317.48021076450414</c:v>
                </c:pt>
                <c:pt idx="15">
                  <c:v>400.00000050063534</c:v>
                </c:pt>
                <c:pt idx="16">
                  <c:v>503.968420630761</c:v>
                </c:pt>
                <c:pt idx="17">
                  <c:v>634.9604216879501</c:v>
                </c:pt>
                <c:pt idx="18">
                  <c:v>800.0000012015248</c:v>
                </c:pt>
                <c:pt idx="19">
                  <c:v>1007.9368415138264</c:v>
                </c:pt>
                <c:pt idx="20">
                  <c:v>1269.9208436937838</c:v>
                </c:pt>
                <c:pt idx="21">
                  <c:v>1600.000002803558</c:v>
                </c:pt>
                <c:pt idx="22">
                  <c:v>2015.8736835322616</c:v>
                </c:pt>
                <c:pt idx="23">
                  <c:v>2539.841688023335</c:v>
                </c:pt>
                <c:pt idx="24">
                  <c:v>3200.0000064081323</c:v>
                </c:pt>
                <c:pt idx="25">
                  <c:v>4031.7473680737407</c:v>
                </c:pt>
                <c:pt idx="26">
                  <c:v>5079.683377318204</c:v>
                </c:pt>
                <c:pt idx="27">
                  <c:v>6400.000014418298</c:v>
                </c:pt>
                <c:pt idx="28">
                  <c:v>8063.494738165917</c:v>
                </c:pt>
                <c:pt idx="29">
                  <c:v>10159.366757179478</c:v>
                </c:pt>
                <c:pt idx="30">
                  <c:v>12800.000032040662</c:v>
                </c:pt>
                <c:pt idx="31">
                  <c:v>16126.989480368704</c:v>
                </c:pt>
                <c:pt idx="32">
                  <c:v>20318.73351944509</c:v>
                </c:pt>
                <c:pt idx="33">
                  <c:v>25600.000070489452</c:v>
                </c:pt>
              </c:numCache>
            </c:numRef>
          </c:xVal>
          <c:yVal>
            <c:numRef>
              <c:f>Sheet1!$AB$6:$AB$39</c:f>
              <c:numCache>
                <c:ptCount val="34"/>
                <c:pt idx="0">
                  <c:v>-0.00012524662864015008</c:v>
                </c:pt>
                <c:pt idx="1">
                  <c:v>-0.00019881494613866528</c:v>
                </c:pt>
                <c:pt idx="2">
                  <c:v>-0.00031559481152471065</c:v>
                </c:pt>
                <c:pt idx="3">
                  <c:v>-0.0005009648442657131</c:v>
                </c:pt>
                <c:pt idx="4">
                  <c:v>-0.000795205181683865</c:v>
                </c:pt>
                <c:pt idx="5">
                  <c:v>-0.0012622416674604904</c:v>
                </c:pt>
                <c:pt idx="6">
                  <c:v>-0.002003512749327263</c:v>
                </c:pt>
                <c:pt idx="7">
                  <c:v>-0.003179947475816119</c:v>
                </c:pt>
                <c:pt idx="8">
                  <c:v>-0.00504676700220099</c:v>
                </c:pt>
                <c:pt idx="9">
                  <c:v>-0.008008511330174214</c:v>
                </c:pt>
                <c:pt idx="10">
                  <c:v>-0.012705843396939325</c:v>
                </c:pt>
                <c:pt idx="11">
                  <c:v>-0.020151975233829344</c:v>
                </c:pt>
                <c:pt idx="12">
                  <c:v>-0.031945817258336784</c:v>
                </c:pt>
                <c:pt idx="13">
                  <c:v>-0.050601849167648184</c:v>
                </c:pt>
                <c:pt idx="14">
                  <c:v>-0.08005285215496914</c:v>
                </c:pt>
                <c:pt idx="15">
                  <c:v>-0.126397091991676</c:v>
                </c:pt>
                <c:pt idx="16">
                  <c:v>-0.19896321443683254</c:v>
                </c:pt>
                <c:pt idx="17">
                  <c:v>-0.31172117976519714</c:v>
                </c:pt>
                <c:pt idx="18">
                  <c:v>-0.4849100481077553</c:v>
                </c:pt>
                <c:pt idx="19">
                  <c:v>-0.7463888213426957</c:v>
                </c:pt>
                <c:pt idx="20">
                  <c:v>-1.1316110020767958</c:v>
                </c:pt>
                <c:pt idx="21">
                  <c:v>-1.6805726838653157</c:v>
                </c:pt>
                <c:pt idx="22">
                  <c:v>-2.430523361896129</c:v>
                </c:pt>
                <c:pt idx="23">
                  <c:v>-3.405714456463632</c:v>
                </c:pt>
                <c:pt idx="24">
                  <c:v>-4.609018475337434</c:v>
                </c:pt>
                <c:pt idx="25">
                  <c:v>-6.020849943133899</c:v>
                </c:pt>
                <c:pt idx="26">
                  <c:v>-7.606161177549527</c:v>
                </c:pt>
                <c:pt idx="27">
                  <c:v>-9.324791731810437</c:v>
                </c:pt>
                <c:pt idx="28">
                  <c:v>-11.139741252082649</c:v>
                </c:pt>
                <c:pt idx="29">
                  <c:v>-13.021203314808902</c:v>
                </c:pt>
                <c:pt idx="30">
                  <c:v>-14.94716953298652</c:v>
                </c:pt>
                <c:pt idx="31">
                  <c:v>-16.902287371272894</c:v>
                </c:pt>
                <c:pt idx="32">
                  <c:v>-18.876234864668405</c:v>
                </c:pt>
                <c:pt idx="33">
                  <c:v>-20.86223489821968</c:v>
                </c:pt>
              </c:numCache>
            </c:numRef>
          </c:yVal>
          <c:smooth val="1"/>
        </c:ser>
        <c:ser>
          <c:idx val="1"/>
          <c:order val="1"/>
          <c:tx>
            <c:v>HPF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Sheet1!$A$6:$A$39</c:f>
              <c:numCache>
                <c:ptCount val="34"/>
                <c:pt idx="0">
                  <c:v>12.5</c:v>
                </c:pt>
                <c:pt idx="1">
                  <c:v>15.749013125</c:v>
                </c:pt>
                <c:pt idx="2">
                  <c:v>19.84251315291378</c:v>
                </c:pt>
                <c:pt idx="3">
                  <c:v>25.00000000625794</c:v>
                </c:pt>
                <c:pt idx="4">
                  <c:v>31.49802625788451</c:v>
                </c:pt>
                <c:pt idx="5">
                  <c:v>39.68502631576143</c:v>
                </c:pt>
                <c:pt idx="6">
                  <c:v>50.00000002503177</c:v>
                </c:pt>
                <c:pt idx="7">
                  <c:v>62.99605253153805</c:v>
                </c:pt>
                <c:pt idx="8">
                  <c:v>79.37005265139058</c:v>
                </c:pt>
                <c:pt idx="9">
                  <c:v>100.0000000750953</c:v>
                </c:pt>
                <c:pt idx="10">
                  <c:v>125.99210509461415</c:v>
                </c:pt>
                <c:pt idx="11">
                  <c:v>158.7401053425166</c:v>
                </c:pt>
                <c:pt idx="12">
                  <c:v>200.00000020025414</c:v>
                </c:pt>
                <c:pt idx="13">
                  <c:v>251.9842102523044</c:v>
                </c:pt>
                <c:pt idx="14">
                  <c:v>317.48021076450414</c:v>
                </c:pt>
                <c:pt idx="15">
                  <c:v>400.00000050063534</c:v>
                </c:pt>
                <c:pt idx="16">
                  <c:v>503.968420630761</c:v>
                </c:pt>
                <c:pt idx="17">
                  <c:v>634.9604216879501</c:v>
                </c:pt>
                <c:pt idx="18">
                  <c:v>800.0000012015248</c:v>
                </c:pt>
                <c:pt idx="19">
                  <c:v>1007.9368415138264</c:v>
                </c:pt>
                <c:pt idx="20">
                  <c:v>1269.9208436937838</c:v>
                </c:pt>
                <c:pt idx="21">
                  <c:v>1600.000002803558</c:v>
                </c:pt>
                <c:pt idx="22">
                  <c:v>2015.8736835322616</c:v>
                </c:pt>
                <c:pt idx="23">
                  <c:v>2539.841688023335</c:v>
                </c:pt>
                <c:pt idx="24">
                  <c:v>3200.0000064081323</c:v>
                </c:pt>
                <c:pt idx="25">
                  <c:v>4031.7473680737407</c:v>
                </c:pt>
                <c:pt idx="26">
                  <c:v>5079.683377318204</c:v>
                </c:pt>
                <c:pt idx="27">
                  <c:v>6400.000014418298</c:v>
                </c:pt>
                <c:pt idx="28">
                  <c:v>8063.494738165917</c:v>
                </c:pt>
                <c:pt idx="29">
                  <c:v>10159.366757179478</c:v>
                </c:pt>
                <c:pt idx="30">
                  <c:v>12800.000032040662</c:v>
                </c:pt>
                <c:pt idx="31">
                  <c:v>16126.989480368704</c:v>
                </c:pt>
                <c:pt idx="32">
                  <c:v>20318.73351944509</c:v>
                </c:pt>
                <c:pt idx="33">
                  <c:v>25600.000070489452</c:v>
                </c:pt>
              </c:numCache>
            </c:numRef>
          </c:xVal>
          <c:yVal>
            <c:numRef>
              <c:f>Sheet1!$AC$6:$AC$39</c:f>
              <c:numCache>
                <c:ptCount val="34"/>
                <c:pt idx="0">
                  <c:v>-100.95711131428374</c:v>
                </c:pt>
                <c:pt idx="1">
                  <c:v>-96.94340088648524</c:v>
                </c:pt>
                <c:pt idx="2">
                  <c:v>-92.92970388056051</c:v>
                </c:pt>
                <c:pt idx="3">
                  <c:v>-88.91602818090753</c:v>
                </c:pt>
                <c:pt idx="4">
                  <c:v>-84.90238630379795</c:v>
                </c:pt>
                <c:pt idx="5">
                  <c:v>-80.88879811901108</c:v>
                </c:pt>
                <c:pt idx="6">
                  <c:v>-76.87529517147408</c:v>
                </c:pt>
                <c:pt idx="7">
                  <c:v>-72.86192754475287</c:v>
                </c:pt>
                <c:pt idx="8">
                  <c:v>-68.84877476450895</c:v>
                </c:pt>
                <c:pt idx="9">
                  <c:v>-64.83596312765597</c:v>
                </c:pt>
                <c:pt idx="10">
                  <c:v>-60.82369326347635</c:v>
                </c:pt>
                <c:pt idx="11">
                  <c:v>-56.81228401674136</c:v>
                </c:pt>
                <c:pt idx="12">
                  <c:v>-52.80224244004657</c:v>
                </c:pt>
                <c:pt idx="13">
                  <c:v>-48.794375729513916</c:v>
                </c:pt>
                <c:pt idx="14">
                  <c:v>-44.7899709732539</c:v>
                </c:pt>
                <c:pt idx="15">
                  <c:v>-40.7910855623858</c:v>
                </c:pt>
                <c:pt idx="16">
                  <c:v>-36.80102052220674</c:v>
                </c:pt>
                <c:pt idx="17">
                  <c:v>-32.825101122901785</c:v>
                </c:pt>
                <c:pt idx="18">
                  <c:v>-28.871982538593343</c:v>
                </c:pt>
                <c:pt idx="19">
                  <c:v>-24.955862363089082</c:v>
                </c:pt>
                <c:pt idx="20">
                  <c:v>-21.10024112151069</c:v>
                </c:pt>
                <c:pt idx="21">
                  <c:v>-17.344144541500114</c:v>
                </c:pt>
                <c:pt idx="22">
                  <c:v>-13.751427797956415</c:v>
                </c:pt>
                <c:pt idx="23">
                  <c:v>-10.420932030298328</c:v>
                </c:pt>
                <c:pt idx="24">
                  <c:v>-7.486498145481262</c:v>
                </c:pt>
                <c:pt idx="25">
                  <c:v>-5.085307552484991</c:v>
                </c:pt>
                <c:pt idx="26">
                  <c:v>-3.290259734260916</c:v>
                </c:pt>
                <c:pt idx="27">
                  <c:v>-2.06097433585436</c:v>
                </c:pt>
                <c:pt idx="28">
                  <c:v>-1.2719907795572176</c:v>
                </c:pt>
                <c:pt idx="29">
                  <c:v>-0.783077777928801</c:v>
                </c:pt>
                <c:pt idx="30">
                  <c:v>-0.48369438438455087</c:v>
                </c:pt>
                <c:pt idx="31">
                  <c:v>-0.30022641681279555</c:v>
                </c:pt>
                <c:pt idx="32">
                  <c:v>-0.18717439448309864</c:v>
                </c:pt>
                <c:pt idx="33">
                  <c:v>-0.11708997725728493</c:v>
                </c:pt>
              </c:numCache>
            </c:numRef>
          </c:yVal>
          <c:smooth val="1"/>
        </c:ser>
        <c:axId val="9686573"/>
        <c:axId val="20070294"/>
      </c:scatterChart>
      <c:valAx>
        <c:axId val="968657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f,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70294"/>
        <c:crossesAt val="-20"/>
        <c:crossBetween val="midCat"/>
        <c:dispUnits/>
      </c:valAx>
      <c:valAx>
        <c:axId val="20070294"/>
        <c:scaling>
          <c:orientation val="minMax"/>
          <c:max val="2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9686573"/>
        <c:crosses val="autoZero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Phase</a:t>
            </a:r>
          </a:p>
        </c:rich>
      </c:tx>
      <c:layout>
        <c:manualLayout>
          <c:xMode val="factor"/>
          <c:yMode val="factor"/>
          <c:x val="0.3255"/>
          <c:y val="0.68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0275"/>
          <c:w val="0.94075"/>
          <c:h val="0.87575"/>
        </c:manualLayout>
      </c:layout>
      <c:scatterChart>
        <c:scatterStyle val="smooth"/>
        <c:varyColors val="0"/>
        <c:ser>
          <c:idx val="0"/>
          <c:order val="0"/>
          <c:tx>
            <c:strRef>
              <c:f>Sheet1!$AK$4</c:f>
              <c:strCache>
                <c:ptCount val="1"/>
                <c:pt idx="0">
                  <c:v>Phase +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Sheet1!$A$5:$A$39</c:f>
              <c:numCache>
                <c:ptCount val="35"/>
                <c:pt idx="1">
                  <c:v>12.5</c:v>
                </c:pt>
                <c:pt idx="2">
                  <c:v>15.749013125</c:v>
                </c:pt>
                <c:pt idx="3">
                  <c:v>19.84251315291378</c:v>
                </c:pt>
                <c:pt idx="4">
                  <c:v>25.00000000625794</c:v>
                </c:pt>
                <c:pt idx="5">
                  <c:v>31.49802625788451</c:v>
                </c:pt>
                <c:pt idx="6">
                  <c:v>39.68502631576143</c:v>
                </c:pt>
                <c:pt idx="7">
                  <c:v>50.00000002503177</c:v>
                </c:pt>
                <c:pt idx="8">
                  <c:v>62.99605253153805</c:v>
                </c:pt>
                <c:pt idx="9">
                  <c:v>79.37005265139058</c:v>
                </c:pt>
                <c:pt idx="10">
                  <c:v>100.0000000750953</c:v>
                </c:pt>
                <c:pt idx="11">
                  <c:v>125.99210509461415</c:v>
                </c:pt>
                <c:pt idx="12">
                  <c:v>158.7401053425166</c:v>
                </c:pt>
                <c:pt idx="13">
                  <c:v>200.00000020025414</c:v>
                </c:pt>
                <c:pt idx="14">
                  <c:v>251.9842102523044</c:v>
                </c:pt>
                <c:pt idx="15">
                  <c:v>317.48021076450414</c:v>
                </c:pt>
                <c:pt idx="16">
                  <c:v>400.00000050063534</c:v>
                </c:pt>
                <c:pt idx="17">
                  <c:v>503.968420630761</c:v>
                </c:pt>
                <c:pt idx="18">
                  <c:v>634.9604216879501</c:v>
                </c:pt>
                <c:pt idx="19">
                  <c:v>800.0000012015248</c:v>
                </c:pt>
                <c:pt idx="20">
                  <c:v>1007.9368415138264</c:v>
                </c:pt>
                <c:pt idx="21">
                  <c:v>1269.9208436937838</c:v>
                </c:pt>
                <c:pt idx="22">
                  <c:v>1600.000002803558</c:v>
                </c:pt>
                <c:pt idx="23">
                  <c:v>2015.8736835322616</c:v>
                </c:pt>
                <c:pt idx="24">
                  <c:v>2539.841688023335</c:v>
                </c:pt>
                <c:pt idx="25">
                  <c:v>3200.0000064081323</c:v>
                </c:pt>
                <c:pt idx="26">
                  <c:v>4031.7473680737407</c:v>
                </c:pt>
                <c:pt idx="27">
                  <c:v>5079.683377318204</c:v>
                </c:pt>
                <c:pt idx="28">
                  <c:v>6400.000014418298</c:v>
                </c:pt>
                <c:pt idx="29">
                  <c:v>8063.494738165917</c:v>
                </c:pt>
                <c:pt idx="30">
                  <c:v>10159.366757179478</c:v>
                </c:pt>
                <c:pt idx="31">
                  <c:v>12800.000032040662</c:v>
                </c:pt>
                <c:pt idx="32">
                  <c:v>16126.989480368704</c:v>
                </c:pt>
                <c:pt idx="33">
                  <c:v>20318.73351944509</c:v>
                </c:pt>
                <c:pt idx="34">
                  <c:v>25600.000070489452</c:v>
                </c:pt>
              </c:numCache>
            </c:numRef>
          </c:xVal>
          <c:yVal>
            <c:numRef>
              <c:f>Sheet1!$AK$5:$AK$39</c:f>
              <c:numCache>
                <c:ptCount val="35"/>
                <c:pt idx="1">
                  <c:v>-0.18985363207642658</c:v>
                </c:pt>
                <c:pt idx="2">
                  <c:v>-0.23839867845561274</c:v>
                </c:pt>
                <c:pt idx="3">
                  <c:v>-0.2990918630350874</c:v>
                </c:pt>
                <c:pt idx="4">
                  <c:v>-0.374816127551279</c:v>
                </c:pt>
                <c:pt idx="5">
                  <c:v>-0.46904376886963</c:v>
                </c:pt>
                <c:pt idx="6">
                  <c:v>-0.5858970017604719</c:v>
                </c:pt>
                <c:pt idx="7">
                  <c:v>-0.7301712421214591</c:v>
                </c:pt>
                <c:pt idx="8">
                  <c:v>-0.9072817140139602</c:v>
                </c:pt>
                <c:pt idx="9">
                  <c:v>-1.1230678077093728</c:v>
                </c:pt>
                <c:pt idx="10">
                  <c:v>-1.3833488976692112</c:v>
                </c:pt>
                <c:pt idx="11">
                  <c:v>-1.693063517611807</c:v>
                </c:pt>
                <c:pt idx="12">
                  <c:v>-2.0547329764213034</c:v>
                </c:pt>
                <c:pt idx="13">
                  <c:v>-2.4658634855290327</c:v>
                </c:pt>
                <c:pt idx="14">
                  <c:v>-2.9147376483908167</c:v>
                </c:pt>
                <c:pt idx="15">
                  <c:v>-3.373870804692879</c:v>
                </c:pt>
                <c:pt idx="16">
                  <c:v>-3.790308293999279</c:v>
                </c:pt>
                <c:pt idx="17">
                  <c:v>-4.07215605600924</c:v>
                </c:pt>
                <c:pt idx="18">
                  <c:v>-4.071839407997795</c:v>
                </c:pt>
                <c:pt idx="19">
                  <c:v>3.116665075637073</c:v>
                </c:pt>
                <c:pt idx="20">
                  <c:v>5.23965049050047</c:v>
                </c:pt>
                <c:pt idx="21">
                  <c:v>15.365660647534813</c:v>
                </c:pt>
                <c:pt idx="22">
                  <c:v>18.477872003478847</c:v>
                </c:pt>
                <c:pt idx="23">
                  <c:v>17.527411130405145</c:v>
                </c:pt>
                <c:pt idx="24">
                  <c:v>12.148670280931416</c:v>
                </c:pt>
                <c:pt idx="25">
                  <c:v>21.15248649685952</c:v>
                </c:pt>
                <c:pt idx="26">
                  <c:v>32.27504046681918</c:v>
                </c:pt>
                <c:pt idx="27">
                  <c:v>-4.715636609159979</c:v>
                </c:pt>
                <c:pt idx="28">
                  <c:v>25.155053641674566</c:v>
                </c:pt>
                <c:pt idx="29">
                  <c:v>19.503840892602515</c:v>
                </c:pt>
                <c:pt idx="30">
                  <c:v>1.395543910028767</c:v>
                </c:pt>
                <c:pt idx="31">
                  <c:v>-10.189702439852876</c:v>
                </c:pt>
                <c:pt idx="32">
                  <c:v>6.583828366183322</c:v>
                </c:pt>
                <c:pt idx="33">
                  <c:v>4.917765676894183</c:v>
                </c:pt>
                <c:pt idx="34">
                  <c:v>3.6797462681674453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Sheet1!$AL$4</c:f>
              <c:strCache>
                <c:ptCount val="1"/>
                <c:pt idx="0">
                  <c:v>Phase 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Sheet1!$A$5:$A$39</c:f>
              <c:numCache>
                <c:ptCount val="35"/>
                <c:pt idx="1">
                  <c:v>12.5</c:v>
                </c:pt>
                <c:pt idx="2">
                  <c:v>15.749013125</c:v>
                </c:pt>
                <c:pt idx="3">
                  <c:v>19.84251315291378</c:v>
                </c:pt>
                <c:pt idx="4">
                  <c:v>25.00000000625794</c:v>
                </c:pt>
                <c:pt idx="5">
                  <c:v>31.49802625788451</c:v>
                </c:pt>
                <c:pt idx="6">
                  <c:v>39.68502631576143</c:v>
                </c:pt>
                <c:pt idx="7">
                  <c:v>50.00000002503177</c:v>
                </c:pt>
                <c:pt idx="8">
                  <c:v>62.99605253153805</c:v>
                </c:pt>
                <c:pt idx="9">
                  <c:v>79.37005265139058</c:v>
                </c:pt>
                <c:pt idx="10">
                  <c:v>100.0000000750953</c:v>
                </c:pt>
                <c:pt idx="11">
                  <c:v>125.99210509461415</c:v>
                </c:pt>
                <c:pt idx="12">
                  <c:v>158.7401053425166</c:v>
                </c:pt>
                <c:pt idx="13">
                  <c:v>200.00000020025414</c:v>
                </c:pt>
                <c:pt idx="14">
                  <c:v>251.9842102523044</c:v>
                </c:pt>
                <c:pt idx="15">
                  <c:v>317.48021076450414</c:v>
                </c:pt>
                <c:pt idx="16">
                  <c:v>400.00000050063534</c:v>
                </c:pt>
                <c:pt idx="17">
                  <c:v>503.968420630761</c:v>
                </c:pt>
                <c:pt idx="18">
                  <c:v>634.9604216879501</c:v>
                </c:pt>
                <c:pt idx="19">
                  <c:v>800.0000012015248</c:v>
                </c:pt>
                <c:pt idx="20">
                  <c:v>1007.9368415138264</c:v>
                </c:pt>
                <c:pt idx="21">
                  <c:v>1269.9208436937838</c:v>
                </c:pt>
                <c:pt idx="22">
                  <c:v>1600.000002803558</c:v>
                </c:pt>
                <c:pt idx="23">
                  <c:v>2015.8736835322616</c:v>
                </c:pt>
                <c:pt idx="24">
                  <c:v>2539.841688023335</c:v>
                </c:pt>
                <c:pt idx="25">
                  <c:v>3200.0000064081323</c:v>
                </c:pt>
                <c:pt idx="26">
                  <c:v>4031.7473680737407</c:v>
                </c:pt>
                <c:pt idx="27">
                  <c:v>5079.683377318204</c:v>
                </c:pt>
                <c:pt idx="28">
                  <c:v>6400.000014418298</c:v>
                </c:pt>
                <c:pt idx="29">
                  <c:v>8063.494738165917</c:v>
                </c:pt>
                <c:pt idx="30">
                  <c:v>10159.366757179478</c:v>
                </c:pt>
                <c:pt idx="31">
                  <c:v>12800.000032040662</c:v>
                </c:pt>
                <c:pt idx="32">
                  <c:v>16126.989480368704</c:v>
                </c:pt>
                <c:pt idx="33">
                  <c:v>20318.73351944509</c:v>
                </c:pt>
                <c:pt idx="34">
                  <c:v>25600.000070489452</c:v>
                </c:pt>
              </c:numCache>
            </c:numRef>
          </c:xVal>
          <c:yVal>
            <c:numRef>
              <c:f>Sheet1!$AL$5:$AL$39</c:f>
              <c:numCache>
                <c:ptCount val="35"/>
                <c:pt idx="1">
                  <c:v>-0.19475814214282705</c:v>
                </c:pt>
                <c:pt idx="2">
                  <c:v>-0.24617912002541542</c:v>
                </c:pt>
                <c:pt idx="3">
                  <c:v>-0.31143256184392665</c:v>
                </c:pt>
                <c:pt idx="4">
                  <c:v>-0.39438575957164534</c:v>
                </c:pt>
                <c:pt idx="5">
                  <c:v>-0.5000685065943167</c:v>
                </c:pt>
                <c:pt idx="6">
                  <c:v>-0.6350652088711899</c:v>
                </c:pt>
                <c:pt idx="7">
                  <c:v>-0.8080592665001575</c:v>
                </c:pt>
                <c:pt idx="8">
                  <c:v>-1.0305963461848953</c:v>
                </c:pt>
                <c:pt idx="9">
                  <c:v>-1.3181637612487245</c:v>
                </c:pt>
                <c:pt idx="10">
                  <c:v>-1.6917268255140239</c:v>
                </c:pt>
                <c:pt idx="11">
                  <c:v>-2.179923318082466</c:v>
                </c:pt>
                <c:pt idx="12">
                  <c:v>-2.8221957269080846</c:v>
                </c:pt>
                <c:pt idx="13">
                  <c:v>-3.673232198338348</c:v>
                </c:pt>
                <c:pt idx="14">
                  <c:v>-4.809166000630903</c:v>
                </c:pt>
                <c:pt idx="15">
                  <c:v>-6.335977769517253</c:v>
                </c:pt>
                <c:pt idx="16">
                  <c:v>-8.400279222494332</c:v>
                </c:pt>
                <c:pt idx="17">
                  <c:v>-11.201743576668054</c:v>
                </c:pt>
                <c:pt idx="18">
                  <c:v>-15.004101903071604</c:v>
                </c:pt>
                <c:pt idx="19">
                  <c:v>-26.822885188508582</c:v>
                </c:pt>
                <c:pt idx="20">
                  <c:v>-34.475816308198986</c:v>
                </c:pt>
                <c:pt idx="21">
                  <c:v>-51.008383236855224</c:v>
                </c:pt>
                <c:pt idx="22">
                  <c:v>-61.201056993688155</c:v>
                </c:pt>
                <c:pt idx="23">
                  <c:v>-67.52581332117315</c:v>
                </c:pt>
                <c:pt idx="24">
                  <c:v>-68.81357609884843</c:v>
                </c:pt>
                <c:pt idx="25">
                  <c:v>-82.84907135452474</c:v>
                </c:pt>
                <c:pt idx="26">
                  <c:v>-96.42733785562876</c:v>
                </c:pt>
                <c:pt idx="27">
                  <c:v>-58.85262937415635</c:v>
                </c:pt>
                <c:pt idx="28">
                  <c:v>-85.31660581919655</c:v>
                </c:pt>
                <c:pt idx="29">
                  <c:v>-74.19295940702922</c:v>
                </c:pt>
                <c:pt idx="30">
                  <c:v>-49.49488805211638</c:v>
                </c:pt>
                <c:pt idx="31">
                  <c:v>-31.037292847614378</c:v>
                </c:pt>
                <c:pt idx="32">
                  <c:v>-41.23829218435233</c:v>
                </c:pt>
                <c:pt idx="33">
                  <c:v>-33.62880846052557</c:v>
                </c:pt>
                <c:pt idx="34">
                  <c:v>-27.214136289719175</c:v>
                </c:pt>
              </c:numCache>
            </c:numRef>
          </c:yVal>
          <c:smooth val="1"/>
        </c:ser>
        <c:axId val="46414919"/>
        <c:axId val="15081088"/>
      </c:scatterChart>
      <c:valAx>
        <c:axId val="46414919"/>
        <c:scaling>
          <c:logBase val="10"/>
          <c:orientation val="minMax"/>
          <c:max val="100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f,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5081088"/>
        <c:crossesAt val="-180"/>
        <c:crossBetween val="midCat"/>
        <c:dispUnits/>
      </c:valAx>
      <c:valAx>
        <c:axId val="15081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1491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497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40</xdr:row>
      <xdr:rowOff>19050</xdr:rowOff>
    </xdr:from>
    <xdr:to>
      <xdr:col>14</xdr:col>
      <xdr:colOff>190500</xdr:colOff>
      <xdr:row>63</xdr:row>
      <xdr:rowOff>47625</xdr:rowOff>
    </xdr:to>
    <xdr:graphicFrame>
      <xdr:nvGraphicFramePr>
        <xdr:cNvPr id="1" name="Chart 1"/>
        <xdr:cNvGraphicFramePr/>
      </xdr:nvGraphicFramePr>
      <xdr:xfrm>
        <a:off x="3352800" y="6496050"/>
        <a:ext cx="69723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19050</xdr:colOff>
      <xdr:row>10</xdr:row>
      <xdr:rowOff>57150</xdr:rowOff>
    </xdr:from>
    <xdr:to>
      <xdr:col>30</xdr:col>
      <xdr:colOff>333375</xdr:colOff>
      <xdr:row>38</xdr:row>
      <xdr:rowOff>142875</xdr:rowOff>
    </xdr:to>
    <xdr:graphicFrame>
      <xdr:nvGraphicFramePr>
        <xdr:cNvPr id="2" name="Chart 2"/>
        <xdr:cNvGraphicFramePr/>
      </xdr:nvGraphicFramePr>
      <xdr:xfrm>
        <a:off x="11801475" y="1676400"/>
        <a:ext cx="890587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38100</xdr:colOff>
      <xdr:row>39</xdr:row>
      <xdr:rowOff>95250</xdr:rowOff>
    </xdr:from>
    <xdr:to>
      <xdr:col>24</xdr:col>
      <xdr:colOff>142875</xdr:colOff>
      <xdr:row>61</xdr:row>
      <xdr:rowOff>47625</xdr:rowOff>
    </xdr:to>
    <xdr:graphicFrame>
      <xdr:nvGraphicFramePr>
        <xdr:cNvPr id="3" name="Chart 4"/>
        <xdr:cNvGraphicFramePr/>
      </xdr:nvGraphicFramePr>
      <xdr:xfrm>
        <a:off x="11820525" y="6410325"/>
        <a:ext cx="52006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323850</xdr:colOff>
      <xdr:row>3</xdr:row>
      <xdr:rowOff>9525</xdr:rowOff>
    </xdr:from>
    <xdr:to>
      <xdr:col>47</xdr:col>
      <xdr:colOff>552450</xdr:colOff>
      <xdr:row>24</xdr:row>
      <xdr:rowOff>142875</xdr:rowOff>
    </xdr:to>
    <xdr:graphicFrame>
      <xdr:nvGraphicFramePr>
        <xdr:cNvPr id="4" name="Chart 7"/>
        <xdr:cNvGraphicFramePr/>
      </xdr:nvGraphicFramePr>
      <xdr:xfrm>
        <a:off x="25374600" y="495300"/>
        <a:ext cx="57150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workbookViewId="0" topLeftCell="N1">
      <selection activeCell="P24" sqref="P24"/>
    </sheetView>
  </sheetViews>
  <sheetFormatPr defaultColWidth="9.140625" defaultRowHeight="12.75"/>
  <cols>
    <col min="1" max="1" width="9.8515625" style="1" bestFit="1" customWidth="1"/>
    <col min="2" max="2" width="7.140625" style="0" customWidth="1"/>
    <col min="3" max="3" width="11.00390625" style="0" customWidth="1"/>
    <col min="4" max="4" width="10.7109375" style="0" customWidth="1"/>
    <col min="5" max="5" width="11.57421875" style="0" customWidth="1"/>
    <col min="6" max="6" width="10.7109375" style="0" customWidth="1"/>
    <col min="8" max="9" width="10.8515625" style="0" customWidth="1"/>
    <col min="10" max="10" width="12.421875" style="0" bestFit="1" customWidth="1"/>
    <col min="11" max="11" width="11.8515625" style="0" customWidth="1"/>
    <col min="12" max="12" width="12.421875" style="0" customWidth="1"/>
    <col min="13" max="14" width="11.7109375" style="0" customWidth="1"/>
    <col min="15" max="15" width="12.7109375" style="0" customWidth="1"/>
    <col min="16" max="16" width="12.00390625" style="0" bestFit="1" customWidth="1"/>
    <col min="20" max="20" width="12.421875" style="0" bestFit="1" customWidth="1"/>
    <col min="27" max="27" width="9.8515625" style="0" customWidth="1"/>
    <col min="28" max="29" width="7.57421875" style="0" customWidth="1"/>
    <col min="31" max="31" width="8.140625" style="0" customWidth="1"/>
    <col min="34" max="34" width="10.00390625" style="0" customWidth="1"/>
    <col min="35" max="35" width="8.421875" style="0" customWidth="1"/>
    <col min="37" max="37" width="8.28125" style="0" customWidth="1"/>
    <col min="38" max="38" width="7.8515625" style="0" customWidth="1"/>
  </cols>
  <sheetData>
    <row r="1" spans="3:23" ht="12.75">
      <c r="C1" s="6" t="s">
        <v>39</v>
      </c>
      <c r="D1" s="4">
        <v>250</v>
      </c>
      <c r="E1" s="12"/>
      <c r="F1" s="13"/>
      <c r="G1" s="6" t="s">
        <v>40</v>
      </c>
      <c r="H1" s="9">
        <v>25.4</v>
      </c>
      <c r="I1" s="12"/>
      <c r="K1" s="8" t="s">
        <v>32</v>
      </c>
      <c r="L1" s="8" t="s">
        <v>33</v>
      </c>
      <c r="U1" s="21" t="s">
        <v>65</v>
      </c>
      <c r="V1" s="21"/>
      <c r="W1" s="22">
        <v>1.9</v>
      </c>
    </row>
    <row r="2" spans="3:26" ht="12.75">
      <c r="C2" s="6" t="s">
        <v>35</v>
      </c>
      <c r="D2" s="2"/>
      <c r="E2" s="4">
        <v>0</v>
      </c>
      <c r="G2" s="6" t="s">
        <v>34</v>
      </c>
      <c r="H2" s="2"/>
      <c r="I2" s="4">
        <f>20*LOG10($K$2/($K$2+$L$2))</f>
        <v>0</v>
      </c>
      <c r="J2" s="3" t="s">
        <v>30</v>
      </c>
      <c r="K2" s="4">
        <v>5.85</v>
      </c>
      <c r="L2" s="4">
        <v>0</v>
      </c>
      <c r="M2" s="6" t="s">
        <v>7</v>
      </c>
      <c r="N2" s="4">
        <v>7500</v>
      </c>
      <c r="O2" s="6" t="s">
        <v>8</v>
      </c>
      <c r="P2" s="4">
        <v>3700</v>
      </c>
      <c r="Q2" t="s">
        <v>16</v>
      </c>
      <c r="T2" t="s">
        <v>17</v>
      </c>
      <c r="W2" t="s">
        <v>18</v>
      </c>
      <c r="Z2" t="s">
        <v>27</v>
      </c>
    </row>
    <row r="3" spans="3:16" ht="12.75">
      <c r="C3" s="6" t="s">
        <v>6</v>
      </c>
      <c r="D3" s="2"/>
      <c r="E3" s="7">
        <v>0</v>
      </c>
      <c r="G3" s="6" t="s">
        <v>5</v>
      </c>
      <c r="H3" s="2"/>
      <c r="I3" s="7">
        <f>20*LOG10($K$3/($K$3+$L$3))</f>
        <v>-1.514414278762366</v>
      </c>
      <c r="J3" s="3" t="s">
        <v>31</v>
      </c>
      <c r="K3" s="4">
        <v>4.2</v>
      </c>
      <c r="L3" s="4">
        <v>0.8</v>
      </c>
      <c r="M3" s="6" t="s">
        <v>37</v>
      </c>
      <c r="N3" s="4"/>
      <c r="O3" s="6" t="s">
        <v>38</v>
      </c>
      <c r="P3" s="4"/>
    </row>
    <row r="4" spans="1:38" ht="12.75">
      <c r="A4" s="1" t="s">
        <v>0</v>
      </c>
      <c r="B4" t="s">
        <v>24</v>
      </c>
      <c r="C4" t="s">
        <v>1</v>
      </c>
      <c r="E4" t="s">
        <v>2</v>
      </c>
      <c r="G4" t="s">
        <v>3</v>
      </c>
      <c r="I4" t="s">
        <v>4</v>
      </c>
      <c r="K4" t="s">
        <v>12</v>
      </c>
      <c r="M4" t="s">
        <v>13</v>
      </c>
      <c r="N4" t="s">
        <v>14</v>
      </c>
      <c r="O4" t="s">
        <v>15</v>
      </c>
      <c r="Q4" t="s">
        <v>11</v>
      </c>
      <c r="R4" t="s">
        <v>9</v>
      </c>
      <c r="T4" t="s">
        <v>11</v>
      </c>
      <c r="U4" t="s">
        <v>9</v>
      </c>
      <c r="W4" t="s">
        <v>11</v>
      </c>
      <c r="X4" t="s">
        <v>9</v>
      </c>
      <c r="Z4" t="s">
        <v>28</v>
      </c>
      <c r="AA4" t="s">
        <v>29</v>
      </c>
      <c r="AB4" t="s">
        <v>25</v>
      </c>
      <c r="AC4" t="s">
        <v>26</v>
      </c>
      <c r="AE4" t="s">
        <v>47</v>
      </c>
      <c r="AF4" t="s">
        <v>48</v>
      </c>
      <c r="AG4" s="8" t="s">
        <v>63</v>
      </c>
      <c r="AH4" t="s">
        <v>51</v>
      </c>
      <c r="AI4" t="s">
        <v>52</v>
      </c>
      <c r="AJ4" t="s">
        <v>64</v>
      </c>
      <c r="AK4" t="s">
        <v>49</v>
      </c>
      <c r="AL4" t="s">
        <v>50</v>
      </c>
    </row>
    <row r="5" spans="3:16" ht="12.75">
      <c r="C5" t="s">
        <v>9</v>
      </c>
      <c r="D5" t="s">
        <v>9</v>
      </c>
      <c r="E5" t="s">
        <v>10</v>
      </c>
      <c r="F5" t="s">
        <v>11</v>
      </c>
      <c r="G5" t="s">
        <v>9</v>
      </c>
      <c r="H5" t="s">
        <v>9</v>
      </c>
      <c r="I5" t="s">
        <v>10</v>
      </c>
      <c r="J5" t="s">
        <v>11</v>
      </c>
      <c r="K5" t="s">
        <v>11</v>
      </c>
      <c r="L5" t="s">
        <v>9</v>
      </c>
      <c r="P5" s="3" t="s">
        <v>36</v>
      </c>
    </row>
    <row r="6" spans="1:38" ht="12.75">
      <c r="A6" s="1">
        <v>12.5</v>
      </c>
      <c r="B6">
        <f>2*3.141592654*A6</f>
        <v>78.53981635</v>
      </c>
      <c r="C6" s="4">
        <v>60</v>
      </c>
      <c r="D6">
        <f aca="true" t="shared" si="0" ref="D6:D39">C6-$E$2</f>
        <v>60</v>
      </c>
      <c r="E6">
        <f>$E$3+D6</f>
        <v>60</v>
      </c>
      <c r="F6">
        <f>POWER(10,E6/20)</f>
        <v>1000</v>
      </c>
      <c r="G6" s="4">
        <v>10</v>
      </c>
      <c r="H6">
        <f aca="true" t="shared" si="1" ref="H6:H39">G6-$I$2</f>
        <v>10</v>
      </c>
      <c r="I6">
        <f>H6+$I$3</f>
        <v>8.485585721237634</v>
      </c>
      <c r="J6">
        <f>POWER(10,I6/20)</f>
        <v>2.656313234541439</v>
      </c>
      <c r="K6">
        <f>F6+J6</f>
        <v>1002.6563132345415</v>
      </c>
      <c r="L6">
        <f>20*LOG10(K6)</f>
        <v>60.02304185393922</v>
      </c>
      <c r="M6">
        <f>1/SQRT(1+A6/$N$2)</f>
        <v>0.9991677068886807</v>
      </c>
      <c r="N6">
        <f>1/SQRT(B6*B6*B6*B6*$P$21*$P$21*$P$23*$P$23*0.000000000000000001+B6*B6*$P$21*0.001*($P$21*0.001/($K$2*$K$2)-2*$P$23*0.000001)+1)</f>
        <v>0.9999855805524256</v>
      </c>
      <c r="O6">
        <f>B6*B6*$P$25*$P$27*0.000000001/SQRT(B6*B6*B6*B6*$P$25*$P$25*$P$27*$P$27*0.000000000000000001+B6*B6*$P$25*0.001*($P$25*0.001/(($K$3+$L$3)*($K$3+$L$3))-2*$P$27*0.000001)+1)</f>
        <v>8.956625885304891E-06</v>
      </c>
      <c r="P6" s="3" t="s">
        <v>20</v>
      </c>
      <c r="Q6">
        <f>N6*F6</f>
        <v>999.9855805524256</v>
      </c>
      <c r="R6">
        <f>20*LOG10(Q6)</f>
        <v>59.99987475336673</v>
      </c>
      <c r="T6">
        <f>O6*J6</f>
        <v>2.3791603875971814E-05</v>
      </c>
      <c r="U6">
        <f>20*LOG10(T6)</f>
        <v>-92.47152559304611</v>
      </c>
      <c r="W6">
        <f>SQRT(Q6*Q6+T6*T6+2*Q6*T6*AG6)</f>
        <v>999.9856043440219</v>
      </c>
      <c r="X6">
        <f>20*LOG10(W6)</f>
        <v>59.99987496002089</v>
      </c>
      <c r="Z6" s="14">
        <f>(180/3.141592654)*ATAN(-B6*$P$21*0.001/($K$2*(1-B6*B6*$P$21*$P$23*0.000000001)))</f>
        <v>-0.3076893498441187</v>
      </c>
      <c r="AA6" s="14">
        <f>180+180/3.141592654*ATAN(-B6*$P$25*0.001/($K$3*(1-B6*B6*$P$25*$P$27*0.000000001)))</f>
        <v>179.64642989272232</v>
      </c>
      <c r="AB6" s="1">
        <f>20*LOG10(N6)</f>
        <v>-0.00012524663326898865</v>
      </c>
      <c r="AC6" s="1">
        <f>20*LOG10(O6)</f>
        <v>-100.95711131428374</v>
      </c>
      <c r="AE6" s="15">
        <f>IF(Z6&lt;0,Z6,-180+Z6)</f>
        <v>-0.3076893498441187</v>
      </c>
      <c r="AF6" s="15">
        <f aca="true" t="shared" si="2" ref="AF6:AF38">IF(AA6&lt;180,AA6,90-(270-AA6))</f>
        <v>179.64642989272232</v>
      </c>
      <c r="AG6" s="20">
        <f>COS(3.14*AJ6/180)</f>
        <v>0.9999996797084915</v>
      </c>
      <c r="AH6" s="15">
        <f>(AE6+C44)*N6</f>
        <v>-0.3076849131336694</v>
      </c>
      <c r="AI6" s="15">
        <f>(AF6+D44)*O6</f>
        <v>0.001609025864179767</v>
      </c>
      <c r="AJ6" s="14">
        <f>AE6-AF6+180-D44</f>
        <v>0.04588075743356512</v>
      </c>
      <c r="AK6" s="15">
        <f>AH6+AI6</f>
        <v>-0.30607588726948964</v>
      </c>
      <c r="AL6" s="15">
        <f>AH6-AI6</f>
        <v>-0.3092939389978492</v>
      </c>
    </row>
    <row r="7" spans="1:38" ht="12.75">
      <c r="A7" s="1">
        <f>A6*1.25992105</f>
        <v>15.749013125</v>
      </c>
      <c r="B7">
        <f aca="true" t="shared" si="3" ref="B7:B39">2*3.141592654*A7</f>
        <v>98.95396788249917</v>
      </c>
      <c r="C7" s="4">
        <v>67</v>
      </c>
      <c r="D7">
        <f t="shared" si="0"/>
        <v>67</v>
      </c>
      <c r="E7">
        <f aca="true" t="shared" si="4" ref="E7:E39">$E$3+D7</f>
        <v>67</v>
      </c>
      <c r="F7">
        <f aca="true" t="shared" si="5" ref="F7:F39">POWER(10,E7/20)</f>
        <v>2238.7211385683418</v>
      </c>
      <c r="G7" s="4">
        <v>14</v>
      </c>
      <c r="H7">
        <f t="shared" si="1"/>
        <v>14</v>
      </c>
      <c r="I7">
        <f aca="true" t="shared" si="6" ref="I7:I39">H7+$I$3</f>
        <v>12.485585721237634</v>
      </c>
      <c r="J7">
        <f aca="true" t="shared" si="7" ref="J7:J39">POWER(10,I7/20)</f>
        <v>4.209972762469088</v>
      </c>
      <c r="K7">
        <f aca="true" t="shared" si="8" ref="K7:K39">F7+J7</f>
        <v>2242.931111330811</v>
      </c>
      <c r="L7">
        <f aca="true" t="shared" si="9" ref="L7:L39">20*LOG10(K7)</f>
        <v>67.01631870011825</v>
      </c>
      <c r="M7">
        <f aca="true" t="shared" si="10" ref="M7:M39">1/SQRT(1+A7/$N$2)</f>
        <v>0.9989517164462173</v>
      </c>
      <c r="N7">
        <f aca="true" t="shared" si="11" ref="N7:N39">1/SQRT(B7*B7*B7*B7*$P$21*$P$21*$P$23*$P$23*0.000000000000000001+B7*B7*$P$21*0.001*($P$21*0.001/($K$2*$K$2)-2*$P$23*0.000001)+1)</f>
        <v>0.9999771108445527</v>
      </c>
      <c r="O7">
        <f aca="true" t="shared" si="12" ref="O7:O39">B7*B7*$P$25*$P$27*0.000000001/SQRT(B7*B7*B7*B7*$P$25*$P$25*$P$27*$P$27*0.000000000000000001+B7*B7*$P$25*0.001*($P$25*0.001/(($K$3+$L$3)*($K$3+$L$3))-2*$P$27*0.000001)+1)</f>
        <v>1.4217719953494245E-05</v>
      </c>
      <c r="P7" s="5">
        <f>314*($K$2+$L$2)/$N$2</f>
        <v>0.24491999999999997</v>
      </c>
      <c r="Q7">
        <f aca="true" t="shared" si="13" ref="Q7:Q39">N7*F7</f>
        <v>2238.6698961321977</v>
      </c>
      <c r="R7">
        <f aca="true" t="shared" si="14" ref="R7:R39">20*LOG10(Q7)</f>
        <v>66.99980118504652</v>
      </c>
      <c r="T7">
        <f aca="true" t="shared" si="15" ref="T7:T39">O7*J7</f>
        <v>5.985621374862404E-05</v>
      </c>
      <c r="U7">
        <f aca="true" t="shared" si="16" ref="U7:U39">20*LOG10(T7)</f>
        <v>-84.4578151652476</v>
      </c>
      <c r="W7">
        <f aca="true" t="shared" si="17" ref="W7:W39">SQRT(Q7*Q7+T7*T7+2*Q7*T7*AG7)</f>
        <v>2238.669955988381</v>
      </c>
      <c r="X7">
        <f aca="true" t="shared" si="18" ref="X7:X39">20*LOG10(W7)</f>
        <v>66.99980141728452</v>
      </c>
      <c r="Z7" s="14">
        <f aca="true" t="shared" si="19" ref="Z7:Z39">(180/3.141592654)*ATAN(-B7*$P$21*0.001/($K$2*(1-B7*B7*$P$21*$P$23*0.000000001)))</f>
        <v>-0.38766209974836235</v>
      </c>
      <c r="AA7" s="14">
        <f aca="true" t="shared" si="20" ref="AA7:AA39">180+180/3.141592654*ATAN(-B7*$P$25*0.001/($K$3*(1-B7*B7*$P$25*$P$27*0.000000001)))</f>
        <v>179.5545305570397</v>
      </c>
      <c r="AB7" s="1">
        <f aca="true" t="shared" si="21" ref="AB7:AB39">20*LOG10(N7)</f>
        <v>-0.00019881495348604444</v>
      </c>
      <c r="AC7" s="1">
        <f aca="true" t="shared" si="22" ref="AC7:AC39">20*LOG10(O7)</f>
        <v>-96.94340088648524</v>
      </c>
      <c r="AE7" s="15">
        <f>IF(Z7&lt;0,Z7,-180+Z7)</f>
        <v>-0.38766209974836235</v>
      </c>
      <c r="AF7" s="15">
        <f t="shared" si="2"/>
        <v>179.5545305570397</v>
      </c>
      <c r="AG7" s="20">
        <f aca="true" t="shared" si="23" ref="AG7:AG39">COS(3.14*AJ7/180)</f>
        <v>0.9999994915476331</v>
      </c>
      <c r="AH7" s="15">
        <f aca="true" t="shared" si="24" ref="AH7:AH39">(AE7+C45)*N7</f>
        <v>-0.38765322649030015</v>
      </c>
      <c r="AI7" s="15">
        <f aca="true" t="shared" si="25" ref="AI7:AI39">(AF7+D45)*O7</f>
        <v>0.0025528560318411153</v>
      </c>
      <c r="AJ7" s="14">
        <f aca="true" t="shared" si="26" ref="AJ7:AJ39">AE7-AF7+180-D45</f>
        <v>0.05780734321194814</v>
      </c>
      <c r="AK7" s="15">
        <f aca="true" t="shared" si="27" ref="AK7:AK39">AH7+AI7</f>
        <v>-0.385100370458459</v>
      </c>
      <c r="AL7" s="15">
        <f aca="true" t="shared" si="28" ref="AL7:AL39">AH7-AI7</f>
        <v>-0.3902060825221413</v>
      </c>
    </row>
    <row r="8" spans="1:38" ht="12.75">
      <c r="A8" s="1">
        <f>A7*1.25992105</f>
        <v>19.84251315291378</v>
      </c>
      <c r="B8">
        <f t="shared" si="3"/>
        <v>124.67418711618463</v>
      </c>
      <c r="C8" s="4">
        <v>73</v>
      </c>
      <c r="D8">
        <f t="shared" si="0"/>
        <v>73</v>
      </c>
      <c r="E8">
        <f t="shared" si="4"/>
        <v>73</v>
      </c>
      <c r="F8">
        <f t="shared" si="5"/>
        <v>4466.835921509634</v>
      </c>
      <c r="G8" s="4">
        <v>18</v>
      </c>
      <c r="H8">
        <f t="shared" si="1"/>
        <v>18</v>
      </c>
      <c r="I8">
        <f t="shared" si="6"/>
        <v>16.485585721237634</v>
      </c>
      <c r="J8">
        <f t="shared" si="7"/>
        <v>6.6723571716839665</v>
      </c>
      <c r="K8">
        <f t="shared" si="8"/>
        <v>4473.508278681318</v>
      </c>
      <c r="L8">
        <f t="shared" si="9"/>
        <v>73.01296490772202</v>
      </c>
      <c r="M8">
        <f t="shared" si="10"/>
        <v>0.998679784851655</v>
      </c>
      <c r="N8">
        <f t="shared" si="11"/>
        <v>0.9999636664633137</v>
      </c>
      <c r="O8">
        <f t="shared" si="12"/>
        <v>2.25691293688489E-05</v>
      </c>
      <c r="P8" s="3" t="s">
        <v>21</v>
      </c>
      <c r="Q8">
        <f t="shared" si="13"/>
        <v>4466.673625562808</v>
      </c>
      <c r="R8">
        <f t="shared" si="14"/>
        <v>72.99968440517682</v>
      </c>
      <c r="T8">
        <f t="shared" si="15"/>
        <v>0.0001505892922029022</v>
      </c>
      <c r="U8">
        <f t="shared" si="16"/>
        <v>-76.44411815932288</v>
      </c>
      <c r="W8">
        <f t="shared" si="17"/>
        <v>4466.673776151979</v>
      </c>
      <c r="X8">
        <f t="shared" si="18"/>
        <v>72.99968469801237</v>
      </c>
      <c r="Z8" s="14">
        <f t="shared" si="19"/>
        <v>-0.4884192619131746</v>
      </c>
      <c r="AA8" s="14">
        <f t="shared" si="20"/>
        <v>179.43874562735851</v>
      </c>
      <c r="AB8" s="1">
        <f t="shared" si="21"/>
        <v>-0.00031559482319060383</v>
      </c>
      <c r="AC8" s="1">
        <f t="shared" si="22"/>
        <v>-92.92970388056051</v>
      </c>
      <c r="AE8" s="15">
        <f>IF(Z8&lt;0,Z8,-180+Z8)</f>
        <v>-0.4884192619131746</v>
      </c>
      <c r="AF8" s="15">
        <f t="shared" si="2"/>
        <v>179.43874562735851</v>
      </c>
      <c r="AG8" s="20">
        <f t="shared" si="23"/>
        <v>0.999999192828533</v>
      </c>
      <c r="AH8" s="15">
        <f t="shared" si="24"/>
        <v>-0.48840151591400355</v>
      </c>
      <c r="AI8" s="15">
        <f t="shared" si="25"/>
        <v>0.004049776263847824</v>
      </c>
      <c r="AJ8" s="14">
        <f t="shared" si="26"/>
        <v>0.07283511072830606</v>
      </c>
      <c r="AK8" s="15">
        <f t="shared" si="27"/>
        <v>-0.4843517396501557</v>
      </c>
      <c r="AL8" s="15">
        <f t="shared" si="28"/>
        <v>-0.4924512921778514</v>
      </c>
    </row>
    <row r="9" spans="1:38" ht="12.75">
      <c r="A9" s="1">
        <f aca="true" t="shared" si="29" ref="A9:A39">A8*1.25992105</f>
        <v>25.00000000625794</v>
      </c>
      <c r="B9">
        <f t="shared" si="3"/>
        <v>157.0796327393198</v>
      </c>
      <c r="C9" s="4">
        <v>79</v>
      </c>
      <c r="D9">
        <f t="shared" si="0"/>
        <v>79</v>
      </c>
      <c r="E9">
        <f t="shared" si="4"/>
        <v>79</v>
      </c>
      <c r="F9">
        <f t="shared" si="5"/>
        <v>8912.509381337468</v>
      </c>
      <c r="G9" s="4">
        <v>22</v>
      </c>
      <c r="H9">
        <f t="shared" si="1"/>
        <v>22</v>
      </c>
      <c r="I9">
        <f t="shared" si="6"/>
        <v>20.485585721237634</v>
      </c>
      <c r="J9">
        <f t="shared" si="7"/>
        <v>10.574973459071009</v>
      </c>
      <c r="K9">
        <f t="shared" si="8"/>
        <v>8923.08435479654</v>
      </c>
      <c r="L9">
        <f t="shared" si="9"/>
        <v>79.01029997257322</v>
      </c>
      <c r="M9">
        <f t="shared" si="10"/>
        <v>0.9983374884591676</v>
      </c>
      <c r="N9">
        <f t="shared" si="11"/>
        <v>0.9999423259519541</v>
      </c>
      <c r="O9">
        <f t="shared" si="12"/>
        <v>3.5826022222572204E-05</v>
      </c>
      <c r="P9" s="5">
        <f>1000000/(9.545*$N$2*($K$2+$L$2))</f>
        <v>2.387849428184682</v>
      </c>
      <c r="Q9">
        <f t="shared" si="13"/>
        <v>8911.995360843199</v>
      </c>
      <c r="R9">
        <f t="shared" si="14"/>
        <v>78.99949903513723</v>
      </c>
      <c r="T9">
        <f t="shared" si="15"/>
        <v>0.0003788592341477892</v>
      </c>
      <c r="U9">
        <f t="shared" si="16"/>
        <v>-68.43044245966989</v>
      </c>
      <c r="W9">
        <f t="shared" si="17"/>
        <v>8911.995739701948</v>
      </c>
      <c r="X9">
        <f t="shared" si="18"/>
        <v>78.99949940438397</v>
      </c>
      <c r="Z9" s="14">
        <f t="shared" si="19"/>
        <v>-0.6153609539813842</v>
      </c>
      <c r="AA9" s="14">
        <f t="shared" si="20"/>
        <v>179.29286771278268</v>
      </c>
      <c r="AB9" s="1">
        <f t="shared" si="21"/>
        <v>-0.0005009648627818684</v>
      </c>
      <c r="AC9" s="1">
        <f t="shared" si="22"/>
        <v>-88.91602818090753</v>
      </c>
      <c r="AE9" s="15">
        <f aca="true" t="shared" si="30" ref="AE9:AE39">IF(Z9&lt;0,Z9,-180+Z9)</f>
        <v>-0.6153609539813842</v>
      </c>
      <c r="AF9" s="15">
        <f t="shared" si="2"/>
        <v>179.29286771278268</v>
      </c>
      <c r="AG9" s="20">
        <f t="shared" si="23"/>
        <v>0.99999871855999</v>
      </c>
      <c r="AH9" s="15">
        <f t="shared" si="24"/>
        <v>-0.6153254636241587</v>
      </c>
      <c r="AI9" s="15">
        <f t="shared" si="25"/>
        <v>0.006423350263026851</v>
      </c>
      <c r="AJ9" s="14">
        <f t="shared" si="26"/>
        <v>0.09177133323592557</v>
      </c>
      <c r="AK9" s="15">
        <f t="shared" si="27"/>
        <v>-0.6089021133611319</v>
      </c>
      <c r="AL9" s="15">
        <f t="shared" si="28"/>
        <v>-0.6217488138871856</v>
      </c>
    </row>
    <row r="10" spans="1:38" ht="12.75">
      <c r="A10" s="1">
        <f t="shared" si="29"/>
        <v>31.49802625788451</v>
      </c>
      <c r="B10">
        <f t="shared" si="3"/>
        <v>197.90793581453818</v>
      </c>
      <c r="C10" s="4">
        <v>79</v>
      </c>
      <c r="D10">
        <f t="shared" si="0"/>
        <v>79</v>
      </c>
      <c r="E10">
        <f t="shared" si="4"/>
        <v>79</v>
      </c>
      <c r="F10">
        <f t="shared" si="5"/>
        <v>8912.509381337468</v>
      </c>
      <c r="G10" s="4">
        <v>26</v>
      </c>
      <c r="H10">
        <f t="shared" si="1"/>
        <v>26</v>
      </c>
      <c r="I10">
        <f t="shared" si="6"/>
        <v>24.485585721237634</v>
      </c>
      <c r="J10">
        <f t="shared" si="7"/>
        <v>16.760203445738593</v>
      </c>
      <c r="K10">
        <f t="shared" si="8"/>
        <v>8929.269584783206</v>
      </c>
      <c r="L10">
        <f t="shared" si="9"/>
        <v>79.01631870011825</v>
      </c>
      <c r="M10">
        <f t="shared" si="10"/>
        <v>0.9979067226904577</v>
      </c>
      <c r="N10">
        <f t="shared" si="11"/>
        <v>0.9999084528074558</v>
      </c>
      <c r="O10">
        <f t="shared" si="12"/>
        <v>5.686966694228747E-05</v>
      </c>
      <c r="P10" s="3" t="s">
        <v>22</v>
      </c>
      <c r="Q10">
        <f t="shared" si="13"/>
        <v>8911.693466125082</v>
      </c>
      <c r="R10">
        <f t="shared" si="14"/>
        <v>78.99920479478894</v>
      </c>
      <c r="T10">
        <f t="shared" si="15"/>
        <v>0.0009531471878441326</v>
      </c>
      <c r="U10">
        <f t="shared" si="16"/>
        <v>-60.41680058256033</v>
      </c>
      <c r="W10">
        <f t="shared" si="17"/>
        <v>8911.69441927033</v>
      </c>
      <c r="X10">
        <f t="shared" si="18"/>
        <v>78.99920572378342</v>
      </c>
      <c r="Z10" s="14">
        <f t="shared" si="19"/>
        <v>-0.7752887097724867</v>
      </c>
      <c r="AA10" s="14">
        <f t="shared" si="20"/>
        <v>179.1090769685229</v>
      </c>
      <c r="AB10" s="1">
        <f t="shared" si="21"/>
        <v>-0.000795205211071542</v>
      </c>
      <c r="AC10" s="1">
        <f t="shared" si="22"/>
        <v>-84.90238630379795</v>
      </c>
      <c r="AE10" s="15">
        <f t="shared" si="30"/>
        <v>-0.7752887097724867</v>
      </c>
      <c r="AF10" s="15">
        <f t="shared" si="2"/>
        <v>179.1090769685229</v>
      </c>
      <c r="AG10" s="20">
        <f t="shared" si="23"/>
        <v>0.9999979655001721</v>
      </c>
      <c r="AH10" s="15">
        <f t="shared" si="24"/>
        <v>-0.7752177342676957</v>
      </c>
      <c r="AI10" s="15">
        <f t="shared" si="25"/>
        <v>0.01018587355354043</v>
      </c>
      <c r="AJ10" s="14">
        <f t="shared" si="26"/>
        <v>0.11563432170459009</v>
      </c>
      <c r="AK10" s="15">
        <f t="shared" si="27"/>
        <v>-0.7650318607141553</v>
      </c>
      <c r="AL10" s="15">
        <f t="shared" si="28"/>
        <v>-0.7854036078212361</v>
      </c>
    </row>
    <row r="11" spans="1:38" ht="12.75">
      <c r="A11" s="1">
        <f t="shared" si="29"/>
        <v>39.68502631576143</v>
      </c>
      <c r="B11">
        <f t="shared" si="3"/>
        <v>249.34837429478557</v>
      </c>
      <c r="C11" s="4">
        <v>82</v>
      </c>
      <c r="D11">
        <f t="shared" si="0"/>
        <v>82</v>
      </c>
      <c r="E11">
        <f t="shared" si="4"/>
        <v>82</v>
      </c>
      <c r="F11">
        <f t="shared" si="5"/>
        <v>12589.254117941671</v>
      </c>
      <c r="G11" s="4">
        <v>30</v>
      </c>
      <c r="H11">
        <f t="shared" si="1"/>
        <v>30</v>
      </c>
      <c r="I11">
        <f t="shared" si="6"/>
        <v>28.485585721237634</v>
      </c>
      <c r="J11">
        <f t="shared" si="7"/>
        <v>26.563132345414388</v>
      </c>
      <c r="K11">
        <f t="shared" si="8"/>
        <v>12615.817250287086</v>
      </c>
      <c r="L11">
        <f t="shared" si="9"/>
        <v>82.01830778560726</v>
      </c>
      <c r="M11">
        <f t="shared" si="10"/>
        <v>0.9973647848380763</v>
      </c>
      <c r="N11">
        <f t="shared" si="11"/>
        <v>0.9998546896108447</v>
      </c>
      <c r="O11">
        <f t="shared" si="12"/>
        <v>9.027346117181304E-05</v>
      </c>
      <c r="P11" s="5">
        <f>243*($K$3+$L$3)/$P$2</f>
        <v>0.32837837837837835</v>
      </c>
      <c r="Q11">
        <f t="shared" si="13"/>
        <v>12587.424768526618</v>
      </c>
      <c r="R11">
        <f t="shared" si="14"/>
        <v>81.9987377582859</v>
      </c>
      <c r="T11">
        <f t="shared" si="15"/>
        <v>0.002397945896385497</v>
      </c>
      <c r="U11">
        <f t="shared" si="16"/>
        <v>-52.403212397773444</v>
      </c>
      <c r="W11">
        <f t="shared" si="17"/>
        <v>12587.42716646477</v>
      </c>
      <c r="X11">
        <f t="shared" si="18"/>
        <v>81.99873941297099</v>
      </c>
      <c r="Z11" s="14">
        <f t="shared" si="19"/>
        <v>-0.976767549959161</v>
      </c>
      <c r="AA11" s="14">
        <f t="shared" si="20"/>
        <v>178.87752296261502</v>
      </c>
      <c r="AB11" s="1">
        <f t="shared" si="21"/>
        <v>-0.001262241714106002</v>
      </c>
      <c r="AC11" s="1">
        <f t="shared" si="22"/>
        <v>-80.88879811901108</v>
      </c>
      <c r="AE11" s="15">
        <f t="shared" si="30"/>
        <v>-0.976767549959161</v>
      </c>
      <c r="AF11" s="15">
        <f t="shared" si="2"/>
        <v>178.87752296261502</v>
      </c>
      <c r="AG11" s="20">
        <f t="shared" si="23"/>
        <v>0.9999967695745927</v>
      </c>
      <c r="AH11" s="15">
        <f t="shared" si="24"/>
        <v>-0.9766256154863622</v>
      </c>
      <c r="AI11" s="15">
        <f t="shared" si="25"/>
        <v>0.016147893123675722</v>
      </c>
      <c r="AJ11" s="14">
        <f t="shared" si="26"/>
        <v>0.1457094874258189</v>
      </c>
      <c r="AK11" s="15">
        <f t="shared" si="27"/>
        <v>-0.9604777223626865</v>
      </c>
      <c r="AL11" s="15">
        <f t="shared" si="28"/>
        <v>-0.9927735086100379</v>
      </c>
    </row>
    <row r="12" spans="1:38" ht="12.75">
      <c r="A12" s="1">
        <f t="shared" si="29"/>
        <v>50.00000002503177</v>
      </c>
      <c r="B12">
        <f t="shared" si="3"/>
        <v>314.15926555727924</v>
      </c>
      <c r="C12" s="4">
        <v>81</v>
      </c>
      <c r="D12">
        <f t="shared" si="0"/>
        <v>81</v>
      </c>
      <c r="E12">
        <f t="shared" si="4"/>
        <v>81</v>
      </c>
      <c r="F12">
        <f t="shared" si="5"/>
        <v>11220.184543019639</v>
      </c>
      <c r="G12" s="4">
        <v>34</v>
      </c>
      <c r="H12">
        <f t="shared" si="1"/>
        <v>34</v>
      </c>
      <c r="I12">
        <f t="shared" si="6"/>
        <v>32.48558572123763</v>
      </c>
      <c r="J12">
        <f t="shared" si="7"/>
        <v>42.099727624690885</v>
      </c>
      <c r="K12">
        <f t="shared" si="8"/>
        <v>11262.28427064433</v>
      </c>
      <c r="L12">
        <f t="shared" si="9"/>
        <v>81.0325297028881</v>
      </c>
      <c r="M12">
        <f t="shared" si="10"/>
        <v>0.996683241275991</v>
      </c>
      <c r="N12">
        <f t="shared" si="11"/>
        <v>0.9997693636626155</v>
      </c>
      <c r="O12">
        <f t="shared" si="12"/>
        <v>0.00014329638731819312</v>
      </c>
      <c r="P12" s="3" t="s">
        <v>23</v>
      </c>
      <c r="Q12">
        <f t="shared" si="13"/>
        <v>11217.596760751858</v>
      </c>
      <c r="R12">
        <f t="shared" si="14"/>
        <v>80.99799648717664</v>
      </c>
      <c r="T12">
        <f t="shared" si="15"/>
        <v>0.006032738875698139</v>
      </c>
      <c r="U12">
        <f t="shared" si="16"/>
        <v>-44.389709450236445</v>
      </c>
      <c r="W12">
        <f t="shared" si="17"/>
        <v>11217.602793459784</v>
      </c>
      <c r="X12">
        <f t="shared" si="18"/>
        <v>80.99800115835733</v>
      </c>
      <c r="Z12" s="14">
        <f t="shared" si="19"/>
        <v>-1.2305799782191496</v>
      </c>
      <c r="AA12" s="14">
        <f t="shared" si="20"/>
        <v>178.5857988379058</v>
      </c>
      <c r="AB12" s="1">
        <f t="shared" si="21"/>
        <v>-0.002003512823361292</v>
      </c>
      <c r="AC12" s="1">
        <f t="shared" si="22"/>
        <v>-76.87529517147408</v>
      </c>
      <c r="AE12" s="15">
        <f t="shared" si="30"/>
        <v>-1.2305799782191496</v>
      </c>
      <c r="AF12" s="15">
        <f t="shared" si="2"/>
        <v>178.5857988379058</v>
      </c>
      <c r="AG12" s="20">
        <f t="shared" si="23"/>
        <v>0.9999948698568324</v>
      </c>
      <c r="AH12" s="15">
        <f t="shared" si="24"/>
        <v>-1.2302961617601145</v>
      </c>
      <c r="AI12" s="15">
        <f t="shared" si="25"/>
        <v>0.025590699799805473</v>
      </c>
      <c r="AJ12" s="14">
        <f t="shared" si="26"/>
        <v>0.18362118387506143</v>
      </c>
      <c r="AK12" s="15">
        <f t="shared" si="27"/>
        <v>-1.204705461960309</v>
      </c>
      <c r="AL12" s="15">
        <f t="shared" si="28"/>
        <v>-1.25588686155992</v>
      </c>
    </row>
    <row r="13" spans="1:38" ht="12.75">
      <c r="A13" s="1">
        <f t="shared" si="29"/>
        <v>62.99605253153805</v>
      </c>
      <c r="B13">
        <f t="shared" si="3"/>
        <v>395.8158717281561</v>
      </c>
      <c r="C13" s="4">
        <v>86</v>
      </c>
      <c r="D13">
        <f t="shared" si="0"/>
        <v>86</v>
      </c>
      <c r="E13">
        <f t="shared" si="4"/>
        <v>86</v>
      </c>
      <c r="F13">
        <f t="shared" si="5"/>
        <v>19952.623149688792</v>
      </c>
      <c r="G13" s="4">
        <v>38</v>
      </c>
      <c r="H13">
        <f t="shared" si="1"/>
        <v>38</v>
      </c>
      <c r="I13">
        <f t="shared" si="6"/>
        <v>36.48558572123763</v>
      </c>
      <c r="J13">
        <f t="shared" si="7"/>
        <v>66.7235717168397</v>
      </c>
      <c r="K13">
        <f t="shared" si="8"/>
        <v>20019.346721405633</v>
      </c>
      <c r="L13">
        <f t="shared" si="9"/>
        <v>86.0289980263847</v>
      </c>
      <c r="M13">
        <f t="shared" si="10"/>
        <v>0.9958265360144248</v>
      </c>
      <c r="N13">
        <f t="shared" si="11"/>
        <v>0.9996339620120142</v>
      </c>
      <c r="O13">
        <f t="shared" si="12"/>
        <v>0.00022745926044684877</v>
      </c>
      <c r="P13" s="5">
        <f>1000000/(12.37*$P$2*($K$3+$L$3))</f>
        <v>4.3697699316131</v>
      </c>
      <c r="Q13">
        <f t="shared" si="13"/>
        <v>19945.31973165604</v>
      </c>
      <c r="R13">
        <f t="shared" si="14"/>
        <v>85.99682005240669</v>
      </c>
      <c r="T13">
        <f t="shared" si="15"/>
        <v>0.015176894277084635</v>
      </c>
      <c r="U13">
        <f t="shared" si="16"/>
        <v>-36.37634182351523</v>
      </c>
      <c r="W13">
        <f t="shared" si="17"/>
        <v>19945.33490842664</v>
      </c>
      <c r="X13">
        <f t="shared" si="18"/>
        <v>85.99682666166171</v>
      </c>
      <c r="Z13" s="14">
        <f t="shared" si="19"/>
        <v>-1.5502936175022977</v>
      </c>
      <c r="AA13" s="14">
        <f t="shared" si="20"/>
        <v>178.2182807503595</v>
      </c>
      <c r="AB13" s="1">
        <f t="shared" si="21"/>
        <v>-0.003179947593305531</v>
      </c>
      <c r="AC13" s="1">
        <f t="shared" si="22"/>
        <v>-72.86192754475287</v>
      </c>
      <c r="AE13" s="15">
        <f t="shared" si="30"/>
        <v>-1.5502936175022977</v>
      </c>
      <c r="AF13" s="15">
        <f t="shared" si="2"/>
        <v>178.2182807503595</v>
      </c>
      <c r="AG13" s="20">
        <f t="shared" si="23"/>
        <v>0.9999918509568436</v>
      </c>
      <c r="AH13" s="15">
        <f t="shared" si="24"/>
        <v>-1.5497261511457598</v>
      </c>
      <c r="AI13" s="15">
        <f t="shared" si="25"/>
        <v>0.040537398337585635</v>
      </c>
      <c r="AJ13" s="14">
        <f t="shared" si="26"/>
        <v>0.23142563213821177</v>
      </c>
      <c r="AK13" s="15">
        <f t="shared" si="27"/>
        <v>-1.5091887528081742</v>
      </c>
      <c r="AL13" s="15">
        <f t="shared" si="28"/>
        <v>-1.5902635494833455</v>
      </c>
    </row>
    <row r="14" spans="1:38" ht="12.75">
      <c r="A14" s="1">
        <f t="shared" si="29"/>
        <v>79.37005265139058</v>
      </c>
      <c r="B14">
        <f t="shared" si="3"/>
        <v>498.6967487144037</v>
      </c>
      <c r="C14" s="4">
        <v>86</v>
      </c>
      <c r="D14">
        <f t="shared" si="0"/>
        <v>86</v>
      </c>
      <c r="E14">
        <f t="shared" si="4"/>
        <v>86</v>
      </c>
      <c r="F14">
        <f t="shared" si="5"/>
        <v>19952.623149688792</v>
      </c>
      <c r="G14" s="4">
        <v>41</v>
      </c>
      <c r="H14">
        <f t="shared" si="1"/>
        <v>41</v>
      </c>
      <c r="I14">
        <f t="shared" si="6"/>
        <v>39.48558572123763</v>
      </c>
      <c r="J14">
        <f t="shared" si="7"/>
        <v>94.24955016136494</v>
      </c>
      <c r="K14">
        <f t="shared" si="8"/>
        <v>20046.87269985016</v>
      </c>
      <c r="L14">
        <f t="shared" si="9"/>
        <v>86.04093265121419</v>
      </c>
      <c r="M14">
        <f t="shared" si="10"/>
        <v>0.994750293551808</v>
      </c>
      <c r="N14">
        <f t="shared" si="11"/>
        <v>0.9994191382207428</v>
      </c>
      <c r="O14">
        <f t="shared" si="12"/>
        <v>0.0003610449391557142</v>
      </c>
      <c r="Q14">
        <f t="shared" si="13"/>
        <v>19941.033433505214</v>
      </c>
      <c r="R14">
        <f t="shared" si="14"/>
        <v>85.99495323281138</v>
      </c>
      <c r="T14">
        <f t="shared" si="15"/>
        <v>0.03402832310346344</v>
      </c>
      <c r="U14">
        <f t="shared" si="16"/>
        <v>-29.363189043271323</v>
      </c>
      <c r="W14">
        <f t="shared" si="17"/>
        <v>19941.06746138767</v>
      </c>
      <c r="X14">
        <f t="shared" si="18"/>
        <v>85.9949680546199</v>
      </c>
      <c r="Z14" s="14">
        <f t="shared" si="19"/>
        <v>-1.9529676785485648</v>
      </c>
      <c r="AA14" s="14">
        <f t="shared" si="20"/>
        <v>177.75529951527662</v>
      </c>
      <c r="AB14" s="1">
        <f t="shared" si="21"/>
        <v>-0.005046767188622163</v>
      </c>
      <c r="AC14" s="1">
        <f t="shared" si="22"/>
        <v>-68.84877476450895</v>
      </c>
      <c r="AE14" s="15">
        <f t="shared" si="30"/>
        <v>-1.9529676785485648</v>
      </c>
      <c r="AF14" s="15">
        <f t="shared" si="2"/>
        <v>177.75529951527662</v>
      </c>
      <c r="AG14" s="20">
        <f t="shared" si="23"/>
        <v>0.999987050473403</v>
      </c>
      <c r="AH14" s="15">
        <f t="shared" si="24"/>
        <v>-1.9518332742679712</v>
      </c>
      <c r="AI14" s="15">
        <f t="shared" si="25"/>
        <v>0.06417765129809881</v>
      </c>
      <c r="AJ14" s="14">
        <f t="shared" si="26"/>
        <v>0.2917328061748208</v>
      </c>
      <c r="AK14" s="15">
        <f t="shared" si="27"/>
        <v>-1.8876556229698724</v>
      </c>
      <c r="AL14" s="15">
        <f t="shared" si="28"/>
        <v>-2.01601092556607</v>
      </c>
    </row>
    <row r="15" spans="1:38" ht="12.75">
      <c r="A15" s="1">
        <f t="shared" si="29"/>
        <v>100.0000000750953</v>
      </c>
      <c r="B15">
        <f t="shared" si="3"/>
        <v>628.3185312718377</v>
      </c>
      <c r="C15" s="4">
        <v>86</v>
      </c>
      <c r="D15">
        <f t="shared" si="0"/>
        <v>86</v>
      </c>
      <c r="E15">
        <f t="shared" si="4"/>
        <v>86</v>
      </c>
      <c r="F15">
        <f t="shared" si="5"/>
        <v>19952.623149688792</v>
      </c>
      <c r="G15" s="4">
        <v>44</v>
      </c>
      <c r="H15">
        <f t="shared" si="1"/>
        <v>44</v>
      </c>
      <c r="I15">
        <f t="shared" si="6"/>
        <v>42.48558572123763</v>
      </c>
      <c r="J15">
        <f t="shared" si="7"/>
        <v>133.13102816673359</v>
      </c>
      <c r="K15">
        <f t="shared" si="8"/>
        <v>20085.754177855524</v>
      </c>
      <c r="L15">
        <f t="shared" si="9"/>
        <v>86.05776286437776</v>
      </c>
      <c r="M15">
        <f t="shared" si="10"/>
        <v>0.9933992677938749</v>
      </c>
      <c r="N15">
        <f t="shared" si="11"/>
        <v>0.9990784109499359</v>
      </c>
      <c r="O15">
        <f t="shared" si="12"/>
        <v>0.0005730623067470491</v>
      </c>
      <c r="P15" s="3"/>
      <c r="Q15">
        <f t="shared" si="13"/>
        <v>19934.235030673983</v>
      </c>
      <c r="R15">
        <f t="shared" si="14"/>
        <v>85.99199148837411</v>
      </c>
      <c r="T15">
        <f t="shared" si="15"/>
        <v>0.07629237410083473</v>
      </c>
      <c r="U15">
        <f t="shared" si="16"/>
        <v>-22.350377406418342</v>
      </c>
      <c r="W15">
        <f t="shared" si="17"/>
        <v>19934.311321477177</v>
      </c>
      <c r="X15">
        <f t="shared" si="18"/>
        <v>85.99202473029324</v>
      </c>
      <c r="Z15" s="14">
        <f t="shared" si="19"/>
        <v>-2.4600256938505263</v>
      </c>
      <c r="AA15" s="14">
        <f t="shared" si="20"/>
        <v>177.17210473918328</v>
      </c>
      <c r="AB15" s="1">
        <f t="shared" si="21"/>
        <v>-0.008008511625898364</v>
      </c>
      <c r="AC15" s="1">
        <f t="shared" si="22"/>
        <v>-64.83596312765597</v>
      </c>
      <c r="AE15" s="15">
        <f t="shared" si="30"/>
        <v>-2.4600256938505263</v>
      </c>
      <c r="AF15" s="15">
        <f t="shared" si="2"/>
        <v>177.17210473918328</v>
      </c>
      <c r="AG15" s="20">
        <f t="shared" si="23"/>
        <v>0.999979409327928</v>
      </c>
      <c r="AH15" s="15">
        <f t="shared" si="24"/>
        <v>-2.4577585611081973</v>
      </c>
      <c r="AI15" s="15">
        <f t="shared" si="25"/>
        <v>0.10153065503306617</v>
      </c>
      <c r="AJ15" s="14">
        <f t="shared" si="26"/>
        <v>0.367869566966192</v>
      </c>
      <c r="AK15" s="15">
        <f t="shared" si="27"/>
        <v>-2.356227906075131</v>
      </c>
      <c r="AL15" s="15">
        <f t="shared" si="28"/>
        <v>-2.5592892161412637</v>
      </c>
    </row>
    <row r="16" spans="1:38" ht="12.75">
      <c r="A16" s="1">
        <f t="shared" si="29"/>
        <v>125.99210509461415</v>
      </c>
      <c r="B16">
        <f t="shared" si="3"/>
        <v>791.6317436544716</v>
      </c>
      <c r="C16" s="4">
        <v>88</v>
      </c>
      <c r="D16">
        <f t="shared" si="0"/>
        <v>88</v>
      </c>
      <c r="E16">
        <f t="shared" si="4"/>
        <v>88</v>
      </c>
      <c r="F16">
        <f t="shared" si="5"/>
        <v>25118.86431509586</v>
      </c>
      <c r="G16" s="4">
        <v>48</v>
      </c>
      <c r="H16">
        <f t="shared" si="1"/>
        <v>48</v>
      </c>
      <c r="I16">
        <f t="shared" si="6"/>
        <v>46.48558572123763</v>
      </c>
      <c r="J16">
        <f t="shared" si="7"/>
        <v>210.9984602468048</v>
      </c>
      <c r="K16">
        <f t="shared" si="8"/>
        <v>25329.862775342663</v>
      </c>
      <c r="L16">
        <f t="shared" si="9"/>
        <v>88.07265674008818</v>
      </c>
      <c r="M16">
        <f t="shared" si="10"/>
        <v>0.9917048930346817</v>
      </c>
      <c r="N16">
        <f t="shared" si="11"/>
        <v>0.9985382550574115</v>
      </c>
      <c r="O16">
        <f t="shared" si="12"/>
        <v>0.0009095264573213959</v>
      </c>
      <c r="P16" s="3"/>
      <c r="Q16">
        <f t="shared" si="13"/>
        <v>25082.1469422197</v>
      </c>
      <c r="R16">
        <f t="shared" si="14"/>
        <v>87.98729415613415</v>
      </c>
      <c r="T16">
        <f t="shared" si="15"/>
        <v>0.19190868204854575</v>
      </c>
      <c r="U16">
        <f t="shared" si="16"/>
        <v>-14.338107542238712</v>
      </c>
      <c r="W16">
        <f t="shared" si="17"/>
        <v>25082.338844612423</v>
      </c>
      <c r="X16">
        <f t="shared" si="18"/>
        <v>87.98736061123593</v>
      </c>
      <c r="Z16" s="14">
        <f t="shared" si="19"/>
        <v>-3.098320549952608</v>
      </c>
      <c r="AA16" s="14">
        <f t="shared" si="20"/>
        <v>176.437575256337</v>
      </c>
      <c r="AB16" s="1">
        <f t="shared" si="21"/>
        <v>-0.012705843865864581</v>
      </c>
      <c r="AC16" s="1">
        <f t="shared" si="22"/>
        <v>-60.82369326347635</v>
      </c>
      <c r="AE16" s="15">
        <f t="shared" si="30"/>
        <v>-3.098320549952608</v>
      </c>
      <c r="AF16" s="15">
        <f t="shared" si="2"/>
        <v>176.437575256337</v>
      </c>
      <c r="AG16" s="20">
        <f t="shared" si="23"/>
        <v>0.9999672272485977</v>
      </c>
      <c r="AH16" s="15">
        <f t="shared" si="24"/>
        <v>-3.0937915955581965</v>
      </c>
      <c r="AI16" s="15">
        <f t="shared" si="25"/>
        <v>0.16047464276127338</v>
      </c>
      <c r="AJ16" s="14">
        <f t="shared" si="26"/>
        <v>0.4641041937103978</v>
      </c>
      <c r="AK16" s="15">
        <f t="shared" si="27"/>
        <v>-2.933316952796923</v>
      </c>
      <c r="AL16" s="15">
        <f t="shared" si="28"/>
        <v>-3.25426623831947</v>
      </c>
    </row>
    <row r="17" spans="1:38" ht="12.75">
      <c r="A17" s="1">
        <f t="shared" si="29"/>
        <v>158.7401053425166</v>
      </c>
      <c r="B17">
        <f t="shared" si="3"/>
        <v>997.3934976784727</v>
      </c>
      <c r="C17" s="4">
        <v>88</v>
      </c>
      <c r="D17">
        <f t="shared" si="0"/>
        <v>88</v>
      </c>
      <c r="E17">
        <f t="shared" si="4"/>
        <v>88</v>
      </c>
      <c r="F17">
        <f t="shared" si="5"/>
        <v>25118.86431509586</v>
      </c>
      <c r="G17" s="4">
        <v>51</v>
      </c>
      <c r="H17">
        <f t="shared" si="1"/>
        <v>51</v>
      </c>
      <c r="I17">
        <f t="shared" si="6"/>
        <v>49.48558572123763</v>
      </c>
      <c r="J17">
        <f t="shared" si="7"/>
        <v>298.0432469562036</v>
      </c>
      <c r="K17">
        <f t="shared" si="8"/>
        <v>25416.907562052063</v>
      </c>
      <c r="L17">
        <f t="shared" si="9"/>
        <v>88.10245418916288</v>
      </c>
      <c r="M17">
        <f t="shared" si="10"/>
        <v>0.9895824066688997</v>
      </c>
      <c r="N17">
        <f t="shared" si="11"/>
        <v>0.9976826073360321</v>
      </c>
      <c r="O17">
        <f t="shared" si="12"/>
        <v>0.001443397002828442</v>
      </c>
      <c r="P17" s="3"/>
      <c r="Q17">
        <f t="shared" si="13"/>
        <v>25060.65404320485</v>
      </c>
      <c r="R17">
        <f t="shared" si="14"/>
        <v>87.9798480240231</v>
      </c>
      <c r="T17">
        <f t="shared" si="15"/>
        <v>0.43019472936984143</v>
      </c>
      <c r="U17">
        <f t="shared" si="16"/>
        <v>-7.32669829550372</v>
      </c>
      <c r="W17">
        <f t="shared" si="17"/>
        <v>25061.084215460025</v>
      </c>
      <c r="X17">
        <f t="shared" si="18"/>
        <v>87.97999711816323</v>
      </c>
      <c r="Z17" s="14">
        <f t="shared" si="19"/>
        <v>-3.9014078176480003</v>
      </c>
      <c r="AA17" s="14">
        <f t="shared" si="20"/>
        <v>175.51262536373906</v>
      </c>
      <c r="AB17" s="1">
        <f t="shared" si="21"/>
        <v>-0.020151975976926348</v>
      </c>
      <c r="AC17" s="1">
        <f t="shared" si="22"/>
        <v>-56.81228401674136</v>
      </c>
      <c r="AE17" s="15">
        <f t="shared" si="30"/>
        <v>-3.9014078176480003</v>
      </c>
      <c r="AF17" s="15">
        <f t="shared" si="2"/>
        <v>175.51262536373906</v>
      </c>
      <c r="AG17" s="20">
        <f t="shared" si="23"/>
        <v>0.9999477571865806</v>
      </c>
      <c r="AH17" s="15">
        <f t="shared" si="24"/>
        <v>-3.892366723792236</v>
      </c>
      <c r="AI17" s="15">
        <f t="shared" si="25"/>
        <v>0.25333439740857217</v>
      </c>
      <c r="AJ17" s="14">
        <f t="shared" si="26"/>
        <v>0.5859668186129454</v>
      </c>
      <c r="AK17" s="15">
        <f t="shared" si="27"/>
        <v>-3.639032326383664</v>
      </c>
      <c r="AL17" s="15">
        <f t="shared" si="28"/>
        <v>-4.145701121200808</v>
      </c>
    </row>
    <row r="18" spans="1:38" ht="12.75">
      <c r="A18" s="1">
        <f t="shared" si="29"/>
        <v>200.00000020025414</v>
      </c>
      <c r="B18">
        <f t="shared" si="3"/>
        <v>1256.6370628582338</v>
      </c>
      <c r="C18" s="4">
        <v>88</v>
      </c>
      <c r="D18">
        <f t="shared" si="0"/>
        <v>88</v>
      </c>
      <c r="E18">
        <f t="shared" si="4"/>
        <v>88</v>
      </c>
      <c r="F18">
        <f t="shared" si="5"/>
        <v>25118.86431509586</v>
      </c>
      <c r="G18" s="4">
        <v>54</v>
      </c>
      <c r="H18">
        <f t="shared" si="1"/>
        <v>54</v>
      </c>
      <c r="I18">
        <f t="shared" si="6"/>
        <v>52.48558572123763</v>
      </c>
      <c r="J18">
        <f t="shared" si="7"/>
        <v>420.99727624690917</v>
      </c>
      <c r="K18">
        <f t="shared" si="8"/>
        <v>25539.861591342767</v>
      </c>
      <c r="L18">
        <f t="shared" si="9"/>
        <v>88.14437078706872</v>
      </c>
      <c r="M18">
        <f t="shared" si="10"/>
        <v>0.98692754242682</v>
      </c>
      <c r="N18">
        <f t="shared" si="11"/>
        <v>0.996328856918097</v>
      </c>
      <c r="O18">
        <f t="shared" si="12"/>
        <v>0.002290276294771179</v>
      </c>
      <c r="Q18">
        <f t="shared" si="13"/>
        <v>25026.649370140236</v>
      </c>
      <c r="R18">
        <f t="shared" si="14"/>
        <v>87.9680541815653</v>
      </c>
      <c r="T18">
        <f t="shared" si="15"/>
        <v>0.9642000819515297</v>
      </c>
      <c r="U18">
        <f t="shared" si="16"/>
        <v>-0.31665671880892704</v>
      </c>
      <c r="W18">
        <f t="shared" si="17"/>
        <v>25027.613489731648</v>
      </c>
      <c r="X18">
        <f t="shared" si="18"/>
        <v>87.96838878788617</v>
      </c>
      <c r="Z18" s="14">
        <f t="shared" si="19"/>
        <v>-4.911014759624948</v>
      </c>
      <c r="AA18" s="14">
        <f t="shared" si="20"/>
        <v>174.34825840944632</v>
      </c>
      <c r="AB18" s="1">
        <f t="shared" si="21"/>
        <v>-0.031945818434729954</v>
      </c>
      <c r="AC18" s="1">
        <f t="shared" si="22"/>
        <v>-52.80224244004657</v>
      </c>
      <c r="AE18" s="15">
        <f t="shared" si="30"/>
        <v>-4.911014759624948</v>
      </c>
      <c r="AF18" s="15">
        <f t="shared" si="2"/>
        <v>174.34825840944632</v>
      </c>
      <c r="AG18" s="20">
        <f t="shared" si="23"/>
        <v>0.9999165177011312</v>
      </c>
      <c r="AH18" s="15">
        <f t="shared" si="24"/>
        <v>-4.892985721765027</v>
      </c>
      <c r="AI18" s="15">
        <f t="shared" si="25"/>
        <v>0.3993056832697948</v>
      </c>
      <c r="AJ18" s="14">
        <f t="shared" si="26"/>
        <v>0.740726830928736</v>
      </c>
      <c r="AK18" s="15">
        <f t="shared" si="27"/>
        <v>-4.493680038495232</v>
      </c>
      <c r="AL18" s="15">
        <f t="shared" si="28"/>
        <v>-5.292291405034821</v>
      </c>
    </row>
    <row r="19" spans="1:38" ht="12.75">
      <c r="A19" s="1">
        <f t="shared" si="29"/>
        <v>251.9842102523044</v>
      </c>
      <c r="B19">
        <f t="shared" si="3"/>
        <v>1583.263487705262</v>
      </c>
      <c r="C19" s="4">
        <v>88</v>
      </c>
      <c r="D19">
        <f t="shared" si="0"/>
        <v>88</v>
      </c>
      <c r="E19">
        <f t="shared" si="4"/>
        <v>88</v>
      </c>
      <c r="F19">
        <f t="shared" si="5"/>
        <v>25118.86431509586</v>
      </c>
      <c r="G19" s="4">
        <v>57</v>
      </c>
      <c r="H19">
        <f t="shared" si="1"/>
        <v>57</v>
      </c>
      <c r="I19">
        <f t="shared" si="6"/>
        <v>55.48558572123763</v>
      </c>
      <c r="J19">
        <f t="shared" si="7"/>
        <v>594.6744588826762</v>
      </c>
      <c r="K19">
        <f t="shared" si="8"/>
        <v>25713.538773978536</v>
      </c>
      <c r="L19">
        <f t="shared" si="9"/>
        <v>88.2032369931858</v>
      </c>
      <c r="M19">
        <f t="shared" si="10"/>
        <v>0.9836128459477024</v>
      </c>
      <c r="N19">
        <f t="shared" si="11"/>
        <v>0.9941911834028299</v>
      </c>
      <c r="O19">
        <f t="shared" si="12"/>
        <v>0.0036331323050307752</v>
      </c>
      <c r="P19" s="3" t="s">
        <v>19</v>
      </c>
      <c r="Q19">
        <f t="shared" si="13"/>
        <v>24972.953439160265</v>
      </c>
      <c r="R19">
        <f t="shared" si="14"/>
        <v>87.94939814897296</v>
      </c>
      <c r="T19">
        <f t="shared" si="15"/>
        <v>2.1605309875433463</v>
      </c>
      <c r="U19">
        <f t="shared" si="16"/>
        <v>6.69120999172372</v>
      </c>
      <c r="W19">
        <f t="shared" si="17"/>
        <v>24975.11368085984</v>
      </c>
      <c r="X19">
        <f t="shared" si="18"/>
        <v>87.95014947418282</v>
      </c>
      <c r="Z19" s="14">
        <f t="shared" si="19"/>
        <v>-6.1786261152599256</v>
      </c>
      <c r="AA19" s="14">
        <f t="shared" si="20"/>
        <v>172.8832365448082</v>
      </c>
      <c r="AB19" s="1">
        <f t="shared" si="21"/>
        <v>-0.05060185102705718</v>
      </c>
      <c r="AC19" s="1">
        <f t="shared" si="22"/>
        <v>-48.794375729513916</v>
      </c>
      <c r="AE19" s="15">
        <f t="shared" si="30"/>
        <v>-6.1786261152599256</v>
      </c>
      <c r="AF19" s="15">
        <f t="shared" si="2"/>
        <v>172.8832365448082</v>
      </c>
      <c r="AG19" s="20">
        <f t="shared" si="23"/>
        <v>0.9998660917168961</v>
      </c>
      <c r="AH19" s="15">
        <f t="shared" si="24"/>
        <v>-6.1427356093338945</v>
      </c>
      <c r="AI19" s="15">
        <f t="shared" si="25"/>
        <v>0.6281076716892198</v>
      </c>
      <c r="AJ19" s="14">
        <f t="shared" si="26"/>
        <v>0.9381373399318704</v>
      </c>
      <c r="AK19" s="15">
        <f t="shared" si="27"/>
        <v>-5.514627937644675</v>
      </c>
      <c r="AL19" s="15">
        <f t="shared" si="28"/>
        <v>-6.770843281023114</v>
      </c>
    </row>
    <row r="20" spans="1:38" ht="12.75">
      <c r="A20" s="1">
        <f t="shared" si="29"/>
        <v>317.48021076450414</v>
      </c>
      <c r="B20">
        <f t="shared" si="3"/>
        <v>1994.786995856276</v>
      </c>
      <c r="C20" s="4">
        <v>88.5</v>
      </c>
      <c r="D20">
        <f t="shared" si="0"/>
        <v>88.5</v>
      </c>
      <c r="E20">
        <f t="shared" si="4"/>
        <v>88.5</v>
      </c>
      <c r="F20">
        <f t="shared" si="5"/>
        <v>26607.250597988106</v>
      </c>
      <c r="G20" s="4">
        <v>61</v>
      </c>
      <c r="H20">
        <f t="shared" si="1"/>
        <v>61</v>
      </c>
      <c r="I20">
        <f t="shared" si="6"/>
        <v>59.48558572123763</v>
      </c>
      <c r="J20">
        <f t="shared" si="7"/>
        <v>942.4955016136505</v>
      </c>
      <c r="K20">
        <f t="shared" si="8"/>
        <v>27549.746099601758</v>
      </c>
      <c r="L20">
        <f t="shared" si="9"/>
        <v>88.80235201435497</v>
      </c>
      <c r="M20">
        <f t="shared" si="10"/>
        <v>0.979483752576997</v>
      </c>
      <c r="N20">
        <f t="shared" si="11"/>
        <v>0.9908259155335266</v>
      </c>
      <c r="O20">
        <f t="shared" si="12"/>
        <v>0.0057610474379939745</v>
      </c>
      <c r="P20" s="6" t="s">
        <v>20</v>
      </c>
      <c r="Q20">
        <f t="shared" si="13"/>
        <v>26363.153433581538</v>
      </c>
      <c r="R20">
        <f t="shared" si="14"/>
        <v>88.41994714491335</v>
      </c>
      <c r="T20">
        <f t="shared" si="15"/>
        <v>5.429761294892167</v>
      </c>
      <c r="U20">
        <f t="shared" si="16"/>
        <v>14.695614747983745</v>
      </c>
      <c r="W20">
        <f t="shared" si="17"/>
        <v>26368.582021995022</v>
      </c>
      <c r="X20">
        <f t="shared" si="18"/>
        <v>88.42173552223905</v>
      </c>
      <c r="Z20" s="14">
        <f t="shared" si="19"/>
        <v>-7.766969134852942</v>
      </c>
      <c r="AA20" s="14">
        <f t="shared" si="20"/>
        <v>171.04138538402404</v>
      </c>
      <c r="AB20" s="1">
        <f t="shared" si="21"/>
        <v>-0.0800528550866436</v>
      </c>
      <c r="AC20" s="1">
        <f t="shared" si="22"/>
        <v>-44.7899709732539</v>
      </c>
      <c r="AE20" s="15">
        <f t="shared" si="30"/>
        <v>-7.766969134852942</v>
      </c>
      <c r="AF20" s="15">
        <f t="shared" si="2"/>
        <v>171.04138538402404</v>
      </c>
      <c r="AG20" s="20">
        <f t="shared" si="23"/>
        <v>0.9997839457608192</v>
      </c>
      <c r="AH20" s="15">
        <f t="shared" si="24"/>
        <v>-7.695714303961309</v>
      </c>
      <c r="AI20" s="15">
        <f t="shared" si="25"/>
        <v>0.9853775350575718</v>
      </c>
      <c r="AJ20" s="14">
        <f t="shared" si="26"/>
        <v>1.1916454811230324</v>
      </c>
      <c r="AK20" s="15">
        <f t="shared" si="27"/>
        <v>-6.710336768903737</v>
      </c>
      <c r="AL20" s="15">
        <f t="shared" si="28"/>
        <v>-8.681091839018881</v>
      </c>
    </row>
    <row r="21" spans="1:38" ht="12.75">
      <c r="A21" s="1">
        <f t="shared" si="29"/>
        <v>400.00000050063534</v>
      </c>
      <c r="B21">
        <f t="shared" si="3"/>
        <v>2513.2741263455846</v>
      </c>
      <c r="C21" s="4">
        <v>88.5</v>
      </c>
      <c r="D21">
        <f t="shared" si="0"/>
        <v>88.5</v>
      </c>
      <c r="E21">
        <f t="shared" si="4"/>
        <v>88.5</v>
      </c>
      <c r="F21">
        <f t="shared" si="5"/>
        <v>26607.250597988106</v>
      </c>
      <c r="G21" s="4">
        <v>66</v>
      </c>
      <c r="H21">
        <f t="shared" si="1"/>
        <v>66</v>
      </c>
      <c r="I21">
        <f t="shared" si="6"/>
        <v>64.48558572123764</v>
      </c>
      <c r="J21">
        <f t="shared" si="7"/>
        <v>1676.0203445738614</v>
      </c>
      <c r="K21">
        <f t="shared" si="8"/>
        <v>28283.27094256197</v>
      </c>
      <c r="L21">
        <f t="shared" si="9"/>
        <v>89.03059267828162</v>
      </c>
      <c r="M21">
        <f t="shared" si="10"/>
        <v>0.9743547036615731</v>
      </c>
      <c r="N21">
        <f t="shared" si="11"/>
        <v>0.9855533651546023</v>
      </c>
      <c r="O21">
        <f t="shared" si="12"/>
        <v>0.00912947328016339</v>
      </c>
      <c r="P21" s="4">
        <v>0.4</v>
      </c>
      <c r="Q21">
        <f t="shared" si="13"/>
        <v>26222.865364358982</v>
      </c>
      <c r="R21">
        <f t="shared" si="14"/>
        <v>88.37360290340398</v>
      </c>
      <c r="T21">
        <f t="shared" si="15"/>
        <v>15.301182952797305</v>
      </c>
      <c r="U21">
        <f t="shared" si="16"/>
        <v>23.69450015885185</v>
      </c>
      <c r="W21">
        <f t="shared" si="17"/>
        <v>26238.161168851566</v>
      </c>
      <c r="X21">
        <f t="shared" si="18"/>
        <v>88.37866790812434</v>
      </c>
      <c r="Z21" s="14">
        <f t="shared" si="19"/>
        <v>-9.750911401335498</v>
      </c>
      <c r="AA21" s="14">
        <f t="shared" si="20"/>
        <v>168.72866812814763</v>
      </c>
      <c r="AB21" s="1">
        <f t="shared" si="21"/>
        <v>-0.12639709659602427</v>
      </c>
      <c r="AC21" s="1">
        <f t="shared" si="22"/>
        <v>-40.7910855623858</v>
      </c>
      <c r="AE21" s="15">
        <f t="shared" si="30"/>
        <v>-9.750911401335498</v>
      </c>
      <c r="AF21" s="15">
        <f t="shared" si="2"/>
        <v>168.72866812814763</v>
      </c>
      <c r="AG21" s="20">
        <f t="shared" si="23"/>
        <v>0.999648288760349</v>
      </c>
      <c r="AH21" s="15">
        <f t="shared" si="24"/>
        <v>-9.61004354491058</v>
      </c>
      <c r="AI21" s="15">
        <f t="shared" si="25"/>
        <v>1.5404038672734799</v>
      </c>
      <c r="AJ21" s="14">
        <f t="shared" si="26"/>
        <v>1.520420470516882</v>
      </c>
      <c r="AK21" s="15">
        <f t="shared" si="27"/>
        <v>-8.0696396776371</v>
      </c>
      <c r="AL21" s="15">
        <f t="shared" si="28"/>
        <v>-11.150447412184059</v>
      </c>
    </row>
    <row r="22" spans="1:38" ht="12.75">
      <c r="A22" s="1">
        <f t="shared" si="29"/>
        <v>503.968420630761</v>
      </c>
      <c r="B22">
        <f t="shared" si="3"/>
        <v>3166.5269762031617</v>
      </c>
      <c r="C22" s="4">
        <v>88.2</v>
      </c>
      <c r="D22">
        <f t="shared" si="0"/>
        <v>88.2</v>
      </c>
      <c r="E22">
        <f t="shared" si="4"/>
        <v>88.2</v>
      </c>
      <c r="F22">
        <f t="shared" si="5"/>
        <v>25703.95782768865</v>
      </c>
      <c r="G22" s="4">
        <v>70</v>
      </c>
      <c r="H22">
        <f t="shared" si="1"/>
        <v>70</v>
      </c>
      <c r="I22">
        <f t="shared" si="6"/>
        <v>68.48558572123764</v>
      </c>
      <c r="J22">
        <f t="shared" si="7"/>
        <v>2656.3132345414424</v>
      </c>
      <c r="K22">
        <f t="shared" si="8"/>
        <v>28360.27106223009</v>
      </c>
      <c r="L22">
        <f t="shared" si="9"/>
        <v>89.05420754874541</v>
      </c>
      <c r="M22">
        <f t="shared" si="10"/>
        <v>0.9680057754382753</v>
      </c>
      <c r="N22">
        <f t="shared" si="11"/>
        <v>0.9773538743938759</v>
      </c>
      <c r="O22">
        <f t="shared" si="12"/>
        <v>0.014452699531690276</v>
      </c>
      <c r="P22" s="6" t="s">
        <v>21</v>
      </c>
      <c r="Q22">
        <f t="shared" si="13"/>
        <v>25121.862770148295</v>
      </c>
      <c r="R22">
        <f t="shared" si="14"/>
        <v>88.00103677837534</v>
      </c>
      <c r="T22">
        <f t="shared" si="15"/>
        <v>38.390897040879786</v>
      </c>
      <c r="U22">
        <f t="shared" si="16"/>
        <v>31.684565199030903</v>
      </c>
      <c r="W22">
        <f t="shared" si="17"/>
        <v>25160.231427986044</v>
      </c>
      <c r="X22">
        <f t="shared" si="18"/>
        <v>88.01429263008708</v>
      </c>
      <c r="Z22" s="14">
        <f t="shared" si="19"/>
        <v>-12.216803871291368</v>
      </c>
      <c r="AA22" s="14">
        <f t="shared" si="20"/>
        <v>165.83040484831804</v>
      </c>
      <c r="AB22" s="1">
        <f t="shared" si="21"/>
        <v>-0.19896322162466726</v>
      </c>
      <c r="AC22" s="1">
        <f t="shared" si="22"/>
        <v>-36.80102052220674</v>
      </c>
      <c r="AE22" s="15">
        <f t="shared" si="30"/>
        <v>-12.216803871291368</v>
      </c>
      <c r="AF22" s="15">
        <f t="shared" si="2"/>
        <v>165.83040484831804</v>
      </c>
      <c r="AG22" s="20">
        <f t="shared" si="23"/>
        <v>0.9994198317658973</v>
      </c>
      <c r="AH22" s="15">
        <f t="shared" si="24"/>
        <v>-11.94014059631672</v>
      </c>
      <c r="AI22" s="15">
        <f t="shared" si="25"/>
        <v>2.396697014491295</v>
      </c>
      <c r="AJ22" s="14">
        <f t="shared" si="26"/>
        <v>1.952791280390585</v>
      </c>
      <c r="AK22" s="15">
        <f t="shared" si="27"/>
        <v>-9.543443581825425</v>
      </c>
      <c r="AL22" s="15">
        <f t="shared" si="28"/>
        <v>-14.336837610808015</v>
      </c>
    </row>
    <row r="23" spans="1:38" ht="12.75">
      <c r="A23" s="1">
        <f t="shared" si="29"/>
        <v>634.9604216879501</v>
      </c>
      <c r="B23">
        <f t="shared" si="3"/>
        <v>3989.5739927112127</v>
      </c>
      <c r="C23" s="4">
        <v>88</v>
      </c>
      <c r="D23">
        <f t="shared" si="0"/>
        <v>88</v>
      </c>
      <c r="E23">
        <f t="shared" si="4"/>
        <v>88</v>
      </c>
      <c r="F23">
        <f t="shared" si="5"/>
        <v>25118.86431509586</v>
      </c>
      <c r="G23" s="4">
        <v>73</v>
      </c>
      <c r="H23">
        <f t="shared" si="1"/>
        <v>73</v>
      </c>
      <c r="I23">
        <f t="shared" si="6"/>
        <v>71.48558572123764</v>
      </c>
      <c r="J23">
        <f t="shared" si="7"/>
        <v>3752.1421740680967</v>
      </c>
      <c r="K23">
        <f t="shared" si="8"/>
        <v>28871.006489163956</v>
      </c>
      <c r="L23">
        <f t="shared" si="9"/>
        <v>89.20923848680783</v>
      </c>
      <c r="M23">
        <f t="shared" si="10"/>
        <v>0.9601805613523136</v>
      </c>
      <c r="N23">
        <f t="shared" si="11"/>
        <v>0.9647481189318603</v>
      </c>
      <c r="O23">
        <f t="shared" si="12"/>
        <v>0.022842568916171122</v>
      </c>
      <c r="P23" s="4">
        <v>2.4E-08</v>
      </c>
      <c r="Q23">
        <f t="shared" si="13"/>
        <v>24233.377097693363</v>
      </c>
      <c r="R23">
        <f t="shared" si="14"/>
        <v>87.68827880911728</v>
      </c>
      <c r="T23">
        <f t="shared" si="15"/>
        <v>85.70856619442264</v>
      </c>
      <c r="U23">
        <f t="shared" si="16"/>
        <v>38.66048459833586</v>
      </c>
      <c r="W23">
        <f t="shared" si="17"/>
        <v>24319.002367103607</v>
      </c>
      <c r="X23">
        <f t="shared" si="18"/>
        <v>87.71891510004961</v>
      </c>
      <c r="Z23" s="14">
        <f t="shared" si="19"/>
        <v>-15.258537653474288</v>
      </c>
      <c r="AA23" s="14">
        <f t="shared" si="20"/>
        <v>162.20947553029015</v>
      </c>
      <c r="AB23" s="1">
        <f t="shared" si="21"/>
        <v>-0.3117211908827445</v>
      </c>
      <c r="AC23" s="1">
        <f t="shared" si="22"/>
        <v>-32.825101122901785</v>
      </c>
      <c r="AE23" s="15">
        <f t="shared" si="30"/>
        <v>-15.258537653474288</v>
      </c>
      <c r="AF23" s="15">
        <f t="shared" si="2"/>
        <v>162.20947553029015</v>
      </c>
      <c r="AG23" s="20">
        <f t="shared" si="23"/>
        <v>0.9990247037296802</v>
      </c>
      <c r="AH23" s="15">
        <f t="shared" si="24"/>
        <v>-14.720645498840282</v>
      </c>
      <c r="AI23" s="15">
        <f t="shared" si="25"/>
        <v>3.705281123656626</v>
      </c>
      <c r="AJ23" s="14">
        <f t="shared" si="26"/>
        <v>2.531986816235559</v>
      </c>
      <c r="AK23" s="15">
        <f t="shared" si="27"/>
        <v>-11.015364375183657</v>
      </c>
      <c r="AL23" s="15">
        <f t="shared" si="28"/>
        <v>-18.42592662249691</v>
      </c>
    </row>
    <row r="24" spans="1:38" ht="12.75">
      <c r="A24" s="1">
        <f t="shared" si="29"/>
        <v>800.0000012015248</v>
      </c>
      <c r="B24">
        <f t="shared" si="3"/>
        <v>5026.548253949403</v>
      </c>
      <c r="C24" s="4">
        <v>88</v>
      </c>
      <c r="D24">
        <f t="shared" si="0"/>
        <v>88</v>
      </c>
      <c r="E24">
        <f t="shared" si="4"/>
        <v>88</v>
      </c>
      <c r="F24">
        <f t="shared" si="5"/>
        <v>25118.86431509586</v>
      </c>
      <c r="G24" s="4">
        <v>78</v>
      </c>
      <c r="H24">
        <f t="shared" si="1"/>
        <v>78</v>
      </c>
      <c r="I24">
        <f t="shared" si="6"/>
        <v>76.48558572123764</v>
      </c>
      <c r="J24">
        <f t="shared" si="7"/>
        <v>6672.357171683972</v>
      </c>
      <c r="K24">
        <f t="shared" si="8"/>
        <v>31791.221486779832</v>
      </c>
      <c r="L24">
        <f t="shared" si="9"/>
        <v>90.0461442951793</v>
      </c>
      <c r="M24">
        <f t="shared" si="10"/>
        <v>0.9505863757179125</v>
      </c>
      <c r="N24">
        <f t="shared" si="11"/>
        <v>0.9457024121031338</v>
      </c>
      <c r="O24">
        <f t="shared" si="12"/>
        <v>0.03600815530514469</v>
      </c>
      <c r="P24" s="6" t="s">
        <v>22</v>
      </c>
      <c r="Q24">
        <f t="shared" si="13"/>
        <v>23754.970572077487</v>
      </c>
      <c r="R24">
        <f t="shared" si="14"/>
        <v>87.51508993493418</v>
      </c>
      <c r="T24">
        <f t="shared" si="15"/>
        <v>240.25927328939244</v>
      </c>
      <c r="U24">
        <f t="shared" si="16"/>
        <v>47.613603182644304</v>
      </c>
      <c r="W24">
        <f t="shared" si="17"/>
        <v>23632.894141493456</v>
      </c>
      <c r="X24">
        <f t="shared" si="18"/>
        <v>87.47033819288032</v>
      </c>
      <c r="Z24" s="14">
        <f t="shared" si="19"/>
        <v>-18.967620620652983</v>
      </c>
      <c r="AA24" s="14">
        <f t="shared" si="20"/>
        <v>157.7071578556202</v>
      </c>
      <c r="AB24" s="1">
        <f t="shared" si="21"/>
        <v>-0.4849100650658383</v>
      </c>
      <c r="AC24" s="1">
        <f t="shared" si="22"/>
        <v>-28.871982538593343</v>
      </c>
      <c r="AE24" s="15">
        <f t="shared" si="30"/>
        <v>-18.967620620652983</v>
      </c>
      <c r="AF24" s="15">
        <f t="shared" si="2"/>
        <v>157.7071578556202</v>
      </c>
      <c r="AG24" s="20">
        <f t="shared" si="23"/>
        <v>-0.5118543529263061</v>
      </c>
      <c r="AH24" s="15">
        <f t="shared" si="24"/>
        <v>-17.937724572808666</v>
      </c>
      <c r="AI24" s="15">
        <f t="shared" si="25"/>
        <v>10.150017378515239</v>
      </c>
      <c r="AJ24" s="14">
        <f t="shared" si="26"/>
        <v>-120.84869151975145</v>
      </c>
      <c r="AK24" s="15">
        <f t="shared" si="27"/>
        <v>-7.787707194293427</v>
      </c>
      <c r="AL24" s="15">
        <f t="shared" si="28"/>
        <v>-28.087741951323906</v>
      </c>
    </row>
    <row r="25" spans="1:38" ht="12.75">
      <c r="A25" s="1">
        <f t="shared" si="29"/>
        <v>1007.9368415138264</v>
      </c>
      <c r="B25">
        <f t="shared" si="3"/>
        <v>6333.053953991599</v>
      </c>
      <c r="C25" s="4">
        <v>87</v>
      </c>
      <c r="D25">
        <f t="shared" si="0"/>
        <v>87</v>
      </c>
      <c r="E25">
        <f t="shared" si="4"/>
        <v>87</v>
      </c>
      <c r="F25">
        <f t="shared" si="5"/>
        <v>22387.211385683382</v>
      </c>
      <c r="G25" s="4">
        <v>84</v>
      </c>
      <c r="H25">
        <f t="shared" si="1"/>
        <v>84</v>
      </c>
      <c r="I25">
        <f t="shared" si="6"/>
        <v>82.48558572123764</v>
      </c>
      <c r="J25">
        <f t="shared" si="7"/>
        <v>13313.102816673378</v>
      </c>
      <c r="K25">
        <f t="shared" si="8"/>
        <v>35700.31420235676</v>
      </c>
      <c r="L25">
        <f t="shared" si="9"/>
        <v>91.05344076804175</v>
      </c>
      <c r="M25">
        <f t="shared" si="10"/>
        <v>0.9388981926617177</v>
      </c>
      <c r="N25">
        <f t="shared" si="11"/>
        <v>0.9176573715850065</v>
      </c>
      <c r="O25">
        <f t="shared" si="12"/>
        <v>0.056520615402312104</v>
      </c>
      <c r="P25" s="4">
        <v>0.33</v>
      </c>
      <c r="Q25">
        <f t="shared" si="13"/>
        <v>20543.789557304142</v>
      </c>
      <c r="R25">
        <f t="shared" si="14"/>
        <v>86.25361115331094</v>
      </c>
      <c r="T25">
        <f t="shared" si="15"/>
        <v>752.4647641126339</v>
      </c>
      <c r="U25">
        <f t="shared" si="16"/>
        <v>57.529723358148566</v>
      </c>
      <c r="W25">
        <f t="shared" si="17"/>
        <v>20612.81354191492</v>
      </c>
      <c r="X25">
        <f t="shared" si="18"/>
        <v>86.28274549529563</v>
      </c>
      <c r="Z25" s="14">
        <f t="shared" si="19"/>
        <v>-23.414026746398623</v>
      </c>
      <c r="AA25" s="14">
        <f t="shared" si="20"/>
        <v>152.14949659442786</v>
      </c>
      <c r="AB25" s="1">
        <f t="shared" si="21"/>
        <v>-0.746388846689051</v>
      </c>
      <c r="AC25" s="1">
        <f t="shared" si="22"/>
        <v>-24.955862363089082</v>
      </c>
      <c r="AE25" s="15">
        <f t="shared" si="30"/>
        <v>-23.414026746398623</v>
      </c>
      <c r="AF25" s="15">
        <f t="shared" si="2"/>
        <v>152.14949659442786</v>
      </c>
      <c r="AG25" s="20">
        <f t="shared" si="23"/>
        <v>0.07357094121950379</v>
      </c>
      <c r="AH25" s="15">
        <f t="shared" si="24"/>
        <v>-21.486054242321202</v>
      </c>
      <c r="AI25" s="15">
        <f t="shared" si="25"/>
        <v>13.701183075242962</v>
      </c>
      <c r="AJ25" s="14">
        <f t="shared" si="26"/>
        <v>-85.82439290604388</v>
      </c>
      <c r="AK25" s="15">
        <f t="shared" si="27"/>
        <v>-7.78487116707824</v>
      </c>
      <c r="AL25" s="15">
        <f t="shared" si="28"/>
        <v>-35.18723731756417</v>
      </c>
    </row>
    <row r="26" spans="1:38" ht="12.75">
      <c r="A26" s="1">
        <f t="shared" si="29"/>
        <v>1269.9208436937838</v>
      </c>
      <c r="B26">
        <f t="shared" si="3"/>
        <v>7979.147987419748</v>
      </c>
      <c r="C26" s="4">
        <v>88</v>
      </c>
      <c r="D26">
        <f t="shared" si="0"/>
        <v>88</v>
      </c>
      <c r="E26">
        <f t="shared" si="4"/>
        <v>88</v>
      </c>
      <c r="F26">
        <f t="shared" si="5"/>
        <v>25118.86431509586</v>
      </c>
      <c r="G26" s="4">
        <v>87</v>
      </c>
      <c r="H26">
        <f t="shared" si="1"/>
        <v>87</v>
      </c>
      <c r="I26">
        <f t="shared" si="6"/>
        <v>85.48558572123764</v>
      </c>
      <c r="J26">
        <f t="shared" si="7"/>
        <v>18805.25756397406</v>
      </c>
      <c r="K26">
        <f t="shared" si="8"/>
        <v>43924.12187906992</v>
      </c>
      <c r="L26">
        <f t="shared" si="9"/>
        <v>92.85406175877685</v>
      </c>
      <c r="M26">
        <f t="shared" si="10"/>
        <v>0.9247680034591502</v>
      </c>
      <c r="N26">
        <f t="shared" si="11"/>
        <v>0.8778482507147822</v>
      </c>
      <c r="O26">
        <f t="shared" si="12"/>
        <v>0.08810244153075998</v>
      </c>
      <c r="P26" s="6" t="s">
        <v>23</v>
      </c>
      <c r="Q26">
        <f t="shared" si="13"/>
        <v>22050.55109894887</v>
      </c>
      <c r="R26">
        <f t="shared" si="14"/>
        <v>86.86838896110353</v>
      </c>
      <c r="T26">
        <f t="shared" si="15"/>
        <v>1656.7891050009066</v>
      </c>
      <c r="U26">
        <f t="shared" si="16"/>
        <v>64.38534459972695</v>
      </c>
      <c r="W26">
        <f t="shared" si="17"/>
        <v>21478.409894823217</v>
      </c>
      <c r="X26">
        <f t="shared" si="18"/>
        <v>86.64004252428795</v>
      </c>
      <c r="Z26" s="14">
        <f t="shared" si="19"/>
        <v>-28.616121425655034</v>
      </c>
      <c r="AA26" s="14">
        <f t="shared" si="20"/>
        <v>145.36356100973703</v>
      </c>
      <c r="AB26" s="1">
        <f t="shared" si="21"/>
        <v>-1.1316110388964744</v>
      </c>
      <c r="AC26" s="1">
        <f t="shared" si="22"/>
        <v>-21.10024112151069</v>
      </c>
      <c r="AE26" s="15">
        <f t="shared" si="30"/>
        <v>-28.616121425655034</v>
      </c>
      <c r="AF26" s="15">
        <f t="shared" si="2"/>
        <v>145.36356100973703</v>
      </c>
      <c r="AG26" s="20">
        <f t="shared" si="23"/>
        <v>-0.3784191951010674</v>
      </c>
      <c r="AH26" s="15">
        <f t="shared" si="24"/>
        <v>-25.12061213575307</v>
      </c>
      <c r="AI26" s="15">
        <f t="shared" si="25"/>
        <v>23.23055262993316</v>
      </c>
      <c r="AJ26" s="14">
        <f t="shared" si="26"/>
        <v>-112.29272591365293</v>
      </c>
      <c r="AK26" s="15">
        <f t="shared" si="27"/>
        <v>-1.8900595058199094</v>
      </c>
      <c r="AL26" s="15">
        <f t="shared" si="28"/>
        <v>-48.351164765686235</v>
      </c>
    </row>
    <row r="27" spans="1:38" ht="12.75">
      <c r="A27" s="1">
        <f t="shared" si="29"/>
        <v>1600.000002803558</v>
      </c>
      <c r="B27">
        <f t="shared" si="3"/>
        <v>10053.096510415275</v>
      </c>
      <c r="C27" s="4">
        <v>89.3</v>
      </c>
      <c r="D27">
        <f t="shared" si="0"/>
        <v>89.3</v>
      </c>
      <c r="E27">
        <f t="shared" si="4"/>
        <v>89.3</v>
      </c>
      <c r="F27">
        <f t="shared" si="5"/>
        <v>29174.270140011668</v>
      </c>
      <c r="G27" s="4">
        <v>91</v>
      </c>
      <c r="H27">
        <f t="shared" si="1"/>
        <v>91</v>
      </c>
      <c r="I27">
        <f t="shared" si="6"/>
        <v>89.48558572123764</v>
      </c>
      <c r="J27">
        <f t="shared" si="7"/>
        <v>29804.3246956204</v>
      </c>
      <c r="K27">
        <f t="shared" si="8"/>
        <v>58978.594835632066</v>
      </c>
      <c r="L27">
        <f t="shared" si="9"/>
        <v>95.41388842555642</v>
      </c>
      <c r="M27">
        <f t="shared" si="10"/>
        <v>0.9078412988633583</v>
      </c>
      <c r="N27">
        <f t="shared" si="11"/>
        <v>0.8240837742939021</v>
      </c>
      <c r="O27">
        <f t="shared" si="12"/>
        <v>0.13576654711008615</v>
      </c>
      <c r="P27" s="9">
        <v>4.4</v>
      </c>
      <c r="Q27">
        <f t="shared" si="13"/>
        <v>24042.042649250703</v>
      </c>
      <c r="R27">
        <f t="shared" si="14"/>
        <v>87.61942726462719</v>
      </c>
      <c r="T27">
        <f t="shared" si="15"/>
        <v>4046.430252872251</v>
      </c>
      <c r="U27">
        <f t="shared" si="16"/>
        <v>72.14144117973754</v>
      </c>
      <c r="W27">
        <f t="shared" si="17"/>
        <v>25890.814019993944</v>
      </c>
      <c r="X27">
        <f t="shared" si="18"/>
        <v>88.26291410165533</v>
      </c>
      <c r="Z27" s="14">
        <f t="shared" si="19"/>
        <v>-34.504290335652456</v>
      </c>
      <c r="AA27" s="14">
        <f t="shared" si="20"/>
        <v>137.20852182289218</v>
      </c>
      <c r="AB27" s="1">
        <f t="shared" si="21"/>
        <v>-1.6805727353728162</v>
      </c>
      <c r="AC27" s="1">
        <f t="shared" si="22"/>
        <v>-17.344144541500114</v>
      </c>
      <c r="AE27" s="15">
        <f t="shared" si="30"/>
        <v>-34.504290335652456</v>
      </c>
      <c r="AF27" s="15">
        <f t="shared" si="2"/>
        <v>137.20852182289218</v>
      </c>
      <c r="AG27" s="20">
        <f t="shared" si="23"/>
        <v>0.39030307042831786</v>
      </c>
      <c r="AH27" s="15">
        <f t="shared" si="24"/>
        <v>-28.434425809137085</v>
      </c>
      <c r="AI27" s="15">
        <f t="shared" si="25"/>
        <v>28.858041422050338</v>
      </c>
      <c r="AJ27" s="14">
        <f t="shared" si="26"/>
        <v>-67.06063824550117</v>
      </c>
      <c r="AK27" s="15">
        <f t="shared" si="27"/>
        <v>0.42361561291325245</v>
      </c>
      <c r="AL27" s="15">
        <f t="shared" si="28"/>
        <v>-57.29246723118742</v>
      </c>
    </row>
    <row r="28" spans="1:38" ht="12.75">
      <c r="A28" s="1">
        <f t="shared" si="29"/>
        <v>2015.8736835322616</v>
      </c>
      <c r="B28">
        <f t="shared" si="3"/>
        <v>12666.107911153747</v>
      </c>
      <c r="C28" s="4">
        <v>89</v>
      </c>
      <c r="D28">
        <f t="shared" si="0"/>
        <v>89</v>
      </c>
      <c r="E28">
        <f t="shared" si="4"/>
        <v>89</v>
      </c>
      <c r="F28">
        <f t="shared" si="5"/>
        <v>28183.829312644593</v>
      </c>
      <c r="G28" s="4">
        <v>90.5</v>
      </c>
      <c r="H28">
        <f t="shared" si="1"/>
        <v>90.5</v>
      </c>
      <c r="I28">
        <f t="shared" si="6"/>
        <v>88.98558572123764</v>
      </c>
      <c r="J28">
        <f t="shared" si="7"/>
        <v>28137.096889257587</v>
      </c>
      <c r="K28">
        <f t="shared" si="8"/>
        <v>56320.926201902184</v>
      </c>
      <c r="L28">
        <f t="shared" si="9"/>
        <v>95.01339576396938</v>
      </c>
      <c r="M28">
        <f t="shared" si="10"/>
        <v>0.8877819225642704</v>
      </c>
      <c r="N28">
        <f t="shared" si="11"/>
        <v>0.755916505785689</v>
      </c>
      <c r="O28">
        <f t="shared" si="12"/>
        <v>0.2053187493056765</v>
      </c>
      <c r="Q28">
        <f t="shared" si="13"/>
        <v>21304.62177367458</v>
      </c>
      <c r="R28">
        <f t="shared" si="14"/>
        <v>86.56947656930808</v>
      </c>
      <c r="T28">
        <f t="shared" si="15"/>
        <v>5777.073542395009</v>
      </c>
      <c r="U28">
        <f t="shared" si="16"/>
        <v>75.23415792328124</v>
      </c>
      <c r="W28">
        <f t="shared" si="17"/>
        <v>26807.782415642247</v>
      </c>
      <c r="X28">
        <f t="shared" si="18"/>
        <v>88.56521779813383</v>
      </c>
      <c r="Z28" s="14">
        <f t="shared" si="19"/>
        <v>-40.894483512224376</v>
      </c>
      <c r="AA28" s="14">
        <f t="shared" si="20"/>
        <v>127.62357419592318</v>
      </c>
      <c r="AB28" s="1">
        <f t="shared" si="21"/>
        <v>-2.4305234306919528</v>
      </c>
      <c r="AC28" s="1">
        <f t="shared" si="22"/>
        <v>-13.751427797956415</v>
      </c>
      <c r="AE28" s="15">
        <f t="shared" si="30"/>
        <v>-40.894483512224376</v>
      </c>
      <c r="AF28" s="15">
        <f t="shared" si="2"/>
        <v>127.62357419592318</v>
      </c>
      <c r="AG28" s="20">
        <f t="shared" si="23"/>
        <v>0.9400340468668167</v>
      </c>
      <c r="AH28" s="15">
        <f t="shared" si="24"/>
        <v>-30.912815082471123</v>
      </c>
      <c r="AI28" s="15">
        <f t="shared" si="25"/>
        <v>32.65766288574038</v>
      </c>
      <c r="AJ28" s="14">
        <f t="shared" si="26"/>
        <v>-19.9528403168432</v>
      </c>
      <c r="AK28" s="15">
        <f t="shared" si="27"/>
        <v>1.7448478032692556</v>
      </c>
      <c r="AL28" s="15">
        <f t="shared" si="28"/>
        <v>-63.570477968211506</v>
      </c>
    </row>
    <row r="29" spans="1:38" ht="12.75">
      <c r="A29" s="1">
        <f t="shared" si="29"/>
        <v>2539.841688023335</v>
      </c>
      <c r="B29">
        <f t="shared" si="3"/>
        <v>15958.295978834138</v>
      </c>
      <c r="C29" s="4">
        <v>88</v>
      </c>
      <c r="D29">
        <f t="shared" si="0"/>
        <v>88</v>
      </c>
      <c r="E29">
        <f t="shared" si="4"/>
        <v>88</v>
      </c>
      <c r="F29">
        <f t="shared" si="5"/>
        <v>25118.86431509586</v>
      </c>
      <c r="G29" s="4">
        <v>90</v>
      </c>
      <c r="H29">
        <f t="shared" si="1"/>
        <v>90</v>
      </c>
      <c r="I29">
        <f t="shared" si="6"/>
        <v>88.48558572123764</v>
      </c>
      <c r="J29">
        <f t="shared" si="7"/>
        <v>26563.132345414455</v>
      </c>
      <c r="K29">
        <f t="shared" si="8"/>
        <v>51681.99666051031</v>
      </c>
      <c r="L29">
        <f t="shared" si="9"/>
        <v>94.2667856732279</v>
      </c>
      <c r="M29">
        <f t="shared" si="10"/>
        <v>0.8643053461334904</v>
      </c>
      <c r="N29">
        <f t="shared" si="11"/>
        <v>0.6756383191472094</v>
      </c>
      <c r="O29">
        <f t="shared" si="12"/>
        <v>0.3012682734073097</v>
      </c>
      <c r="P29" s="10" t="s">
        <v>41</v>
      </c>
      <c r="Q29">
        <f t="shared" si="13"/>
        <v>16971.267264738184</v>
      </c>
      <c r="R29">
        <f t="shared" si="14"/>
        <v>84.59428545629358</v>
      </c>
      <c r="T29">
        <f t="shared" si="15"/>
        <v>8002.629017992875</v>
      </c>
      <c r="U29">
        <f t="shared" si="16"/>
        <v>78.06465369093932</v>
      </c>
      <c r="W29">
        <f t="shared" si="17"/>
        <v>24666.78967396641</v>
      </c>
      <c r="X29">
        <f t="shared" si="18"/>
        <v>87.84225261476004</v>
      </c>
      <c r="Z29" s="14">
        <f t="shared" si="19"/>
        <v>-47.49626113551244</v>
      </c>
      <c r="AA29" s="14">
        <f t="shared" si="20"/>
        <v>116.68520054000871</v>
      </c>
      <c r="AB29" s="1">
        <f t="shared" si="21"/>
        <v>-3.405714543706436</v>
      </c>
      <c r="AC29" s="1">
        <f t="shared" si="22"/>
        <v>-10.420932030298328</v>
      </c>
      <c r="AE29" s="15">
        <f t="shared" si="30"/>
        <v>-47.49626113551244</v>
      </c>
      <c r="AF29" s="15">
        <f t="shared" si="2"/>
        <v>116.68520054000871</v>
      </c>
      <c r="AG29" s="20">
        <f t="shared" si="23"/>
        <v>0.9438758232800883</v>
      </c>
      <c r="AH29" s="15">
        <f t="shared" si="24"/>
        <v>-32.090294039374555</v>
      </c>
      <c r="AI29" s="15">
        <f t="shared" si="25"/>
        <v>34.10565925223999</v>
      </c>
      <c r="AJ29" s="14">
        <f t="shared" si="26"/>
        <v>19.29679919404407</v>
      </c>
      <c r="AK29" s="15">
        <f t="shared" si="27"/>
        <v>2.015365212865433</v>
      </c>
      <c r="AL29" s="15">
        <f t="shared" si="28"/>
        <v>-66.19595329161454</v>
      </c>
    </row>
    <row r="30" spans="1:38" ht="12.75">
      <c r="A30" s="1">
        <f t="shared" si="29"/>
        <v>3200.0000064081323</v>
      </c>
      <c r="B30">
        <f t="shared" si="3"/>
        <v>20106.193025863482</v>
      </c>
      <c r="C30" s="4">
        <v>88</v>
      </c>
      <c r="D30">
        <f t="shared" si="0"/>
        <v>88</v>
      </c>
      <c r="E30">
        <f t="shared" si="4"/>
        <v>88</v>
      </c>
      <c r="F30">
        <f t="shared" si="5"/>
        <v>25118.86431509586</v>
      </c>
      <c r="G30" s="4">
        <v>89.5</v>
      </c>
      <c r="H30">
        <f t="shared" si="1"/>
        <v>89.5</v>
      </c>
      <c r="I30">
        <f t="shared" si="6"/>
        <v>87.98558572123764</v>
      </c>
      <c r="J30">
        <f t="shared" si="7"/>
        <v>25077.213998910884</v>
      </c>
      <c r="K30">
        <f t="shared" si="8"/>
        <v>50196.07831400674</v>
      </c>
      <c r="L30">
        <f t="shared" si="9"/>
        <v>94.01339576396937</v>
      </c>
      <c r="M30">
        <f t="shared" si="10"/>
        <v>0.8372183580282202</v>
      </c>
      <c r="N30">
        <f t="shared" si="11"/>
        <v>0.5882325748557976</v>
      </c>
      <c r="O30">
        <f t="shared" si="12"/>
        <v>0.42235252286584307</v>
      </c>
      <c r="P30" s="10" t="s">
        <v>42</v>
      </c>
      <c r="Q30">
        <f t="shared" si="13"/>
        <v>14775.73423352225</v>
      </c>
      <c r="R30">
        <f t="shared" si="14"/>
        <v>83.39098141968759</v>
      </c>
      <c r="T30">
        <f t="shared" si="15"/>
        <v>10591.42459888665</v>
      </c>
      <c r="U30">
        <f t="shared" si="16"/>
        <v>80.49908757575638</v>
      </c>
      <c r="W30">
        <f t="shared" si="17"/>
        <v>25175.891291374366</v>
      </c>
      <c r="X30">
        <f t="shared" si="18"/>
        <v>88.01969709281397</v>
      </c>
      <c r="Z30" s="14">
        <f t="shared" si="19"/>
        <v>-53.96831374204348</v>
      </c>
      <c r="AA30" s="14">
        <f t="shared" si="20"/>
        <v>104.65147965733641</v>
      </c>
      <c r="AB30" s="1">
        <f t="shared" si="21"/>
        <v>-4.609018580312433</v>
      </c>
      <c r="AC30" s="1">
        <f t="shared" si="22"/>
        <v>-7.486498145481262</v>
      </c>
      <c r="AE30" s="15">
        <f t="shared" si="30"/>
        <v>-53.96831374204348</v>
      </c>
      <c r="AF30" s="15">
        <f t="shared" si="2"/>
        <v>104.65147965733641</v>
      </c>
      <c r="AG30" s="20">
        <f t="shared" si="23"/>
        <v>0.9691134588779307</v>
      </c>
      <c r="AH30" s="15">
        <f t="shared" si="24"/>
        <v>-31.74592015310776</v>
      </c>
      <c r="AI30" s="15">
        <f t="shared" si="25"/>
        <v>47.19668305195017</v>
      </c>
      <c r="AJ30" s="14">
        <f t="shared" si="26"/>
        <v>14.28455442670706</v>
      </c>
      <c r="AK30" s="15">
        <f t="shared" si="27"/>
        <v>15.450762898842406</v>
      </c>
      <c r="AL30" s="15">
        <f t="shared" si="28"/>
        <v>-78.94260320505794</v>
      </c>
    </row>
    <row r="31" spans="1:38" ht="12.75">
      <c r="A31" s="1">
        <f t="shared" si="29"/>
        <v>4031.7473680737407</v>
      </c>
      <c r="B31">
        <f t="shared" si="3"/>
        <v>25332.215828648597</v>
      </c>
      <c r="C31" s="4">
        <v>87.6</v>
      </c>
      <c r="D31">
        <f t="shared" si="0"/>
        <v>87.6</v>
      </c>
      <c r="E31">
        <f t="shared" si="4"/>
        <v>87.6</v>
      </c>
      <c r="F31">
        <f t="shared" si="5"/>
        <v>23988.329190194923</v>
      </c>
      <c r="G31" s="4">
        <v>89</v>
      </c>
      <c r="H31">
        <f t="shared" si="1"/>
        <v>89</v>
      </c>
      <c r="I31">
        <f t="shared" si="6"/>
        <v>87.48558572123764</v>
      </c>
      <c r="J31">
        <f t="shared" si="7"/>
        <v>23674.416622621484</v>
      </c>
      <c r="K31">
        <f t="shared" si="8"/>
        <v>47662.74581281641</v>
      </c>
      <c r="L31">
        <f t="shared" si="9"/>
        <v>93.5635811618053</v>
      </c>
      <c r="M31">
        <f t="shared" si="10"/>
        <v>0.8064604465301723</v>
      </c>
      <c r="N31">
        <f t="shared" si="11"/>
        <v>0.49998560040178186</v>
      </c>
      <c r="O31">
        <f t="shared" si="12"/>
        <v>0.5568453820403418</v>
      </c>
      <c r="P31" s="10" t="s">
        <v>43</v>
      </c>
      <c r="Q31">
        <f t="shared" si="13"/>
        <v>11993.819172795198</v>
      </c>
      <c r="R31">
        <f t="shared" si="14"/>
        <v>81.57914993647638</v>
      </c>
      <c r="T31">
        <f t="shared" si="15"/>
        <v>13182.989568805879</v>
      </c>
      <c r="U31">
        <f t="shared" si="16"/>
        <v>82.40027816875268</v>
      </c>
      <c r="W31">
        <f t="shared" si="17"/>
        <v>25127.74979729697</v>
      </c>
      <c r="X31">
        <f t="shared" si="18"/>
        <v>88.00307198086671</v>
      </c>
      <c r="Z31" s="14">
        <f t="shared" si="19"/>
        <v>-60.00095286112316</v>
      </c>
      <c r="AA31" s="14">
        <f t="shared" si="20"/>
        <v>91.9630534538458</v>
      </c>
      <c r="AB31" s="1">
        <f t="shared" si="21"/>
        <v>-6.020850063523615</v>
      </c>
      <c r="AC31" s="1">
        <f t="shared" si="22"/>
        <v>-5.085307552484991</v>
      </c>
      <c r="AE31" s="15">
        <f t="shared" si="30"/>
        <v>-60.00095286112316</v>
      </c>
      <c r="AF31" s="15">
        <f t="shared" si="2"/>
        <v>91.9630534538458</v>
      </c>
      <c r="AG31" s="20">
        <f t="shared" si="23"/>
        <v>0.9921958763902707</v>
      </c>
      <c r="AH31" s="15">
        <f t="shared" si="24"/>
        <v>-29.999612440947676</v>
      </c>
      <c r="AI31" s="15">
        <f t="shared" si="25"/>
        <v>62.83032265059723</v>
      </c>
      <c r="AJ31" s="14">
        <f t="shared" si="26"/>
        <v>7.166428467639733</v>
      </c>
      <c r="AK31" s="15">
        <f t="shared" si="27"/>
        <v>32.83071020964955</v>
      </c>
      <c r="AL31" s="15">
        <f t="shared" si="28"/>
        <v>-92.82993509154491</v>
      </c>
    </row>
    <row r="32" spans="1:38" ht="12.75">
      <c r="A32" s="1">
        <f t="shared" si="29"/>
        <v>5079.683377318204</v>
      </c>
      <c r="B32">
        <f t="shared" si="3"/>
        <v>31916.591965657564</v>
      </c>
      <c r="C32" s="4">
        <v>86</v>
      </c>
      <c r="D32">
        <f t="shared" si="0"/>
        <v>86</v>
      </c>
      <c r="E32">
        <f t="shared" si="4"/>
        <v>86</v>
      </c>
      <c r="F32">
        <f t="shared" si="5"/>
        <v>19952.623149688792</v>
      </c>
      <c r="G32" s="4">
        <v>89.5</v>
      </c>
      <c r="H32">
        <f t="shared" si="1"/>
        <v>89.5</v>
      </c>
      <c r="I32">
        <f t="shared" si="6"/>
        <v>87.98558572123764</v>
      </c>
      <c r="J32">
        <f t="shared" si="7"/>
        <v>25077.213998910884</v>
      </c>
      <c r="K32">
        <f t="shared" si="8"/>
        <v>45029.837148599676</v>
      </c>
      <c r="L32">
        <f t="shared" si="9"/>
        <v>93.07000752660379</v>
      </c>
      <c r="M32">
        <f t="shared" si="10"/>
        <v>0.7721395115514815</v>
      </c>
      <c r="N32">
        <f t="shared" si="11"/>
        <v>0.41657378325595773</v>
      </c>
      <c r="O32">
        <f t="shared" si="12"/>
        <v>0.6846790088204884</v>
      </c>
      <c r="P32" s="7">
        <f>$K$2+$L$2</f>
        <v>5.85</v>
      </c>
      <c r="Q32">
        <f t="shared" si="13"/>
        <v>8311.739711346263</v>
      </c>
      <c r="R32">
        <f t="shared" si="14"/>
        <v>78.39383868978896</v>
      </c>
      <c r="T32">
        <f t="shared" si="15"/>
        <v>17169.84202475358</v>
      </c>
      <c r="U32">
        <f t="shared" si="16"/>
        <v>84.69532598697671</v>
      </c>
      <c r="W32">
        <f t="shared" si="17"/>
        <v>22277.846398608355</v>
      </c>
      <c r="X32">
        <f t="shared" si="18"/>
        <v>86.95746410489308</v>
      </c>
      <c r="Z32" s="14">
        <f t="shared" si="19"/>
        <v>-65.38153597241808</v>
      </c>
      <c r="AA32" s="14">
        <f t="shared" si="20"/>
        <v>259.18387125260824</v>
      </c>
      <c r="AB32" s="1">
        <f t="shared" si="21"/>
        <v>-7.606161310211032</v>
      </c>
      <c r="AC32" s="1">
        <f t="shared" si="22"/>
        <v>-3.290259734260916</v>
      </c>
      <c r="AE32" s="15">
        <f t="shared" si="30"/>
        <v>-65.38153597241808</v>
      </c>
      <c r="AF32" s="15">
        <f t="shared" si="2"/>
        <v>79.18387125260824</v>
      </c>
      <c r="AG32" s="20">
        <f t="shared" si="23"/>
        <v>0.46392257353068134</v>
      </c>
      <c r="AH32" s="15">
        <f t="shared" si="24"/>
        <v>-27.23623379511569</v>
      </c>
      <c r="AI32" s="15">
        <f t="shared" si="25"/>
        <v>35.7589698982092</v>
      </c>
      <c r="AJ32" s="14">
        <f t="shared" si="26"/>
        <v>62.39111451410412</v>
      </c>
      <c r="AK32" s="15">
        <f t="shared" si="27"/>
        <v>8.52273610309351</v>
      </c>
      <c r="AL32" s="15">
        <f t="shared" si="28"/>
        <v>-62.995203693324896</v>
      </c>
    </row>
    <row r="33" spans="1:38" ht="12.75">
      <c r="A33" s="1">
        <f t="shared" si="29"/>
        <v>6400.000014418298</v>
      </c>
      <c r="B33">
        <f t="shared" si="3"/>
        <v>40212.38606179284</v>
      </c>
      <c r="C33" s="4">
        <v>87</v>
      </c>
      <c r="D33">
        <f t="shared" si="0"/>
        <v>87</v>
      </c>
      <c r="E33">
        <f t="shared" si="4"/>
        <v>87</v>
      </c>
      <c r="F33">
        <f t="shared" si="5"/>
        <v>22387.211385683382</v>
      </c>
      <c r="G33" s="4">
        <v>90</v>
      </c>
      <c r="H33">
        <f t="shared" si="1"/>
        <v>90</v>
      </c>
      <c r="I33">
        <f t="shared" si="6"/>
        <v>88.48558572123764</v>
      </c>
      <c r="J33">
        <f t="shared" si="7"/>
        <v>26563.132345414455</v>
      </c>
      <c r="K33">
        <f t="shared" si="8"/>
        <v>48950.34373109783</v>
      </c>
      <c r="L33">
        <f t="shared" si="9"/>
        <v>93.7951149156309</v>
      </c>
      <c r="M33">
        <f t="shared" si="10"/>
        <v>0.7345531599306162</v>
      </c>
      <c r="N33">
        <f t="shared" si="11"/>
        <v>0.3417908296742484</v>
      </c>
      <c r="O33">
        <f t="shared" si="12"/>
        <v>0.7887716325443939</v>
      </c>
      <c r="P33" s="10" t="s">
        <v>44</v>
      </c>
      <c r="Q33">
        <f t="shared" si="13"/>
        <v>7651.743553605504</v>
      </c>
      <c r="R33">
        <f t="shared" si="14"/>
        <v>77.67520812642472</v>
      </c>
      <c r="T33">
        <f t="shared" si="15"/>
        <v>20952.245265585352</v>
      </c>
      <c r="U33">
        <f t="shared" si="16"/>
        <v>86.4246113853833</v>
      </c>
      <c r="W33">
        <f t="shared" si="17"/>
        <v>27946.851191955753</v>
      </c>
      <c r="X33">
        <f t="shared" si="18"/>
        <v>88.92665764910369</v>
      </c>
      <c r="Z33" s="14">
        <f t="shared" si="19"/>
        <v>-70.01398161079122</v>
      </c>
      <c r="AA33" s="14">
        <f t="shared" si="20"/>
        <v>246.8957612697027</v>
      </c>
      <c r="AB33" s="1">
        <f t="shared" si="21"/>
        <v>-9.324791873575272</v>
      </c>
      <c r="AC33" s="1">
        <f t="shared" si="22"/>
        <v>-2.06097433585436</v>
      </c>
      <c r="AE33" s="15">
        <f t="shared" si="30"/>
        <v>-70.01398161079122</v>
      </c>
      <c r="AF33" s="15">
        <f t="shared" si="2"/>
        <v>66.89576126970269</v>
      </c>
      <c r="AG33" s="20">
        <f t="shared" si="23"/>
        <v>0.8841024048874462</v>
      </c>
      <c r="AH33" s="15">
        <f t="shared" si="24"/>
        <v>-23.9301368635499</v>
      </c>
      <c r="AI33" s="15">
        <f t="shared" si="25"/>
        <v>64.7685254092007</v>
      </c>
      <c r="AJ33" s="14">
        <f t="shared" si="26"/>
        <v>27.872865815158264</v>
      </c>
      <c r="AK33" s="15">
        <f t="shared" si="27"/>
        <v>40.8383885456508</v>
      </c>
      <c r="AL33" s="15">
        <f t="shared" si="28"/>
        <v>-88.69866227275061</v>
      </c>
    </row>
    <row r="34" spans="1:38" ht="12.75">
      <c r="A34" s="1">
        <f t="shared" si="29"/>
        <v>8063.494738165917</v>
      </c>
      <c r="B34">
        <f t="shared" si="3"/>
        <v>50664.4316699794</v>
      </c>
      <c r="C34" s="4">
        <v>85.5</v>
      </c>
      <c r="D34">
        <f t="shared" si="0"/>
        <v>85.5</v>
      </c>
      <c r="E34">
        <f t="shared" si="4"/>
        <v>85.5</v>
      </c>
      <c r="F34">
        <f t="shared" si="5"/>
        <v>18836.490894898037</v>
      </c>
      <c r="G34" s="4">
        <v>90</v>
      </c>
      <c r="H34">
        <f t="shared" si="1"/>
        <v>90</v>
      </c>
      <c r="I34">
        <f t="shared" si="6"/>
        <v>88.48558572123764</v>
      </c>
      <c r="J34">
        <f t="shared" si="7"/>
        <v>26563.132345414455</v>
      </c>
      <c r="K34">
        <f t="shared" si="8"/>
        <v>45399.62324031249</v>
      </c>
      <c r="L34">
        <f t="shared" si="9"/>
        <v>93.14104497549792</v>
      </c>
      <c r="M34">
        <f t="shared" si="10"/>
        <v>0.6941879489837411</v>
      </c>
      <c r="N34">
        <f t="shared" si="11"/>
        <v>0.2773402674265839</v>
      </c>
      <c r="O34">
        <f t="shared" si="12"/>
        <v>0.8637746634623902</v>
      </c>
      <c r="P34" s="11">
        <f>$D$1/($P$32*$P$32)</f>
        <v>7.3051355102637165</v>
      </c>
      <c r="Q34">
        <f t="shared" si="13"/>
        <v>5224.117422169435</v>
      </c>
      <c r="R34">
        <f t="shared" si="14"/>
        <v>74.3602585997474</v>
      </c>
      <c r="T34">
        <f t="shared" si="15"/>
        <v>22944.560702167302</v>
      </c>
      <c r="U34">
        <f t="shared" si="16"/>
        <v>87.21359494168043</v>
      </c>
      <c r="W34">
        <f t="shared" si="17"/>
        <v>27293.51081885971</v>
      </c>
      <c r="X34">
        <f t="shared" si="18"/>
        <v>88.7211880686116</v>
      </c>
      <c r="Z34" s="14">
        <f t="shared" si="19"/>
        <v>-73.89847290134514</v>
      </c>
      <c r="AA34" s="14">
        <f t="shared" si="20"/>
        <v>235.58607058714273</v>
      </c>
      <c r="AB34" s="1">
        <f t="shared" si="21"/>
        <v>-11.139741400252623</v>
      </c>
      <c r="AC34" s="1">
        <f t="shared" si="22"/>
        <v>-1.2719907795572176</v>
      </c>
      <c r="AE34" s="15">
        <f t="shared" si="30"/>
        <v>-73.89847290134514</v>
      </c>
      <c r="AF34" s="15">
        <f t="shared" si="2"/>
        <v>55.58607058714273</v>
      </c>
      <c r="AG34" s="20">
        <f t="shared" si="23"/>
        <v>0.7975277923586724</v>
      </c>
      <c r="AH34" s="15">
        <f t="shared" si="24"/>
        <v>-20.495022236875226</v>
      </c>
      <c r="AI34" s="15">
        <f t="shared" si="25"/>
        <v>59.5809088209718</v>
      </c>
      <c r="AJ34" s="14">
        <f t="shared" si="26"/>
        <v>37.124152163686034</v>
      </c>
      <c r="AK34" s="15">
        <f t="shared" si="27"/>
        <v>39.08588658409657</v>
      </c>
      <c r="AL34" s="15">
        <f t="shared" si="28"/>
        <v>-80.07593105784703</v>
      </c>
    </row>
    <row r="35" spans="1:38" ht="12.75">
      <c r="A35" s="1">
        <f t="shared" si="29"/>
        <v>10159.366757179478</v>
      </c>
      <c r="B35">
        <f t="shared" si="3"/>
        <v>63833.1839472937</v>
      </c>
      <c r="C35" s="4">
        <v>81</v>
      </c>
      <c r="D35">
        <f t="shared" si="0"/>
        <v>81</v>
      </c>
      <c r="E35">
        <f t="shared" si="4"/>
        <v>81</v>
      </c>
      <c r="F35">
        <f t="shared" si="5"/>
        <v>11220.184543019639</v>
      </c>
      <c r="G35" s="4">
        <v>90</v>
      </c>
      <c r="H35">
        <f t="shared" si="1"/>
        <v>90</v>
      </c>
      <c r="I35">
        <f t="shared" si="6"/>
        <v>88.48558572123764</v>
      </c>
      <c r="J35">
        <f t="shared" si="7"/>
        <v>26563.132345414455</v>
      </c>
      <c r="K35">
        <f t="shared" si="8"/>
        <v>37783.31688843409</v>
      </c>
      <c r="L35">
        <f t="shared" si="9"/>
        <v>91.54600161439136</v>
      </c>
      <c r="M35">
        <f t="shared" si="10"/>
        <v>0.6516930186233658</v>
      </c>
      <c r="N35">
        <f t="shared" si="11"/>
        <v>0.2233262773242998</v>
      </c>
      <c r="O35">
        <f t="shared" si="12"/>
        <v>0.9137893898816201</v>
      </c>
      <c r="P35" s="10" t="s">
        <v>45</v>
      </c>
      <c r="Q35">
        <f t="shared" si="13"/>
        <v>2505.762044884226</v>
      </c>
      <c r="R35">
        <f t="shared" si="14"/>
        <v>67.97879653268029</v>
      </c>
      <c r="T35">
        <f t="shared" si="15"/>
        <v>24273.108499261</v>
      </c>
      <c r="U35">
        <f t="shared" si="16"/>
        <v>87.70250794330886</v>
      </c>
      <c r="W35">
        <f t="shared" si="17"/>
        <v>25663.0169695668</v>
      </c>
      <c r="X35">
        <f t="shared" si="18"/>
        <v>88.18615422255105</v>
      </c>
      <c r="Z35" s="14">
        <f t="shared" si="19"/>
        <v>-77.09552375477207</v>
      </c>
      <c r="AA35" s="14">
        <f t="shared" si="20"/>
        <v>225.5713055766214</v>
      </c>
      <c r="AB35" s="1">
        <f t="shared" si="21"/>
        <v>-13.021203467319713</v>
      </c>
      <c r="AC35" s="1">
        <f t="shared" si="22"/>
        <v>-0.783077777928801</v>
      </c>
      <c r="AE35" s="15">
        <f t="shared" si="30"/>
        <v>-77.09552375477207</v>
      </c>
      <c r="AF35" s="15">
        <f t="shared" si="2"/>
        <v>45.5713055766214</v>
      </c>
      <c r="AG35" s="20">
        <f t="shared" si="23"/>
        <v>0.5189499056339277</v>
      </c>
      <c r="AH35" s="15">
        <f t="shared" si="24"/>
        <v>-17.21745631852037</v>
      </c>
      <c r="AI35" s="15">
        <f t="shared" si="25"/>
        <v>40.33148639435697</v>
      </c>
      <c r="AJ35" s="14">
        <f t="shared" si="26"/>
        <v>58.76795327730218</v>
      </c>
      <c r="AK35" s="15">
        <f t="shared" si="27"/>
        <v>23.114030075836602</v>
      </c>
      <c r="AL35" s="15">
        <f t="shared" si="28"/>
        <v>-57.54894271287734</v>
      </c>
    </row>
    <row r="36" spans="1:38" ht="12.75">
      <c r="A36" s="1">
        <f t="shared" si="29"/>
        <v>12800.000032040662</v>
      </c>
      <c r="B36">
        <f t="shared" si="3"/>
        <v>80424.77214371742</v>
      </c>
      <c r="C36" s="4">
        <v>80.5</v>
      </c>
      <c r="D36">
        <f t="shared" si="0"/>
        <v>80.5</v>
      </c>
      <c r="E36">
        <f t="shared" si="4"/>
        <v>80.5</v>
      </c>
      <c r="F36">
        <f t="shared" si="5"/>
        <v>10592.537251772914</v>
      </c>
      <c r="G36" s="4">
        <v>89.5</v>
      </c>
      <c r="H36">
        <f t="shared" si="1"/>
        <v>89.5</v>
      </c>
      <c r="I36">
        <f t="shared" si="6"/>
        <v>87.98558572123764</v>
      </c>
      <c r="J36">
        <f t="shared" si="7"/>
        <v>25077.213998910884</v>
      </c>
      <c r="K36">
        <f t="shared" si="8"/>
        <v>35669.751250683796</v>
      </c>
      <c r="L36">
        <f t="shared" si="9"/>
        <v>91.04600161439137</v>
      </c>
      <c r="M36">
        <f t="shared" si="10"/>
        <v>0.6078306733751437</v>
      </c>
      <c r="N36">
        <f t="shared" si="11"/>
        <v>0.17891284246170472</v>
      </c>
      <c r="O36">
        <f t="shared" si="12"/>
        <v>0.9458347822642338</v>
      </c>
      <c r="P36" s="7">
        <f>$K$3</f>
        <v>4.2</v>
      </c>
      <c r="Q36">
        <f t="shared" si="13"/>
        <v>1895.140948596186</v>
      </c>
      <c r="R36">
        <f t="shared" si="14"/>
        <v>65.5528303116351</v>
      </c>
      <c r="T36">
        <f t="shared" si="15"/>
        <v>23718.90124245347</v>
      </c>
      <c r="U36">
        <f t="shared" si="16"/>
        <v>87.50189133685309</v>
      </c>
      <c r="W36">
        <f t="shared" si="17"/>
        <v>24354.391631215025</v>
      </c>
      <c r="X36">
        <f t="shared" si="18"/>
        <v>87.73154570873986</v>
      </c>
      <c r="Z36" s="14">
        <f t="shared" si="19"/>
        <v>-79.69355827335728</v>
      </c>
      <c r="AA36" s="14">
        <f t="shared" si="20"/>
        <v>216.98020565749363</v>
      </c>
      <c r="AB36" s="1">
        <f t="shared" si="21"/>
        <v>-14.947169688364909</v>
      </c>
      <c r="AC36" s="1">
        <f t="shared" si="22"/>
        <v>-0.48369438438455087</v>
      </c>
      <c r="AE36" s="15">
        <f t="shared" si="30"/>
        <v>-79.69355827335728</v>
      </c>
      <c r="AF36" s="15">
        <f t="shared" si="2"/>
        <v>36.98020565749363</v>
      </c>
      <c r="AG36" s="20">
        <f t="shared" si="23"/>
        <v>0.29986829739967863</v>
      </c>
      <c r="AH36" s="15">
        <f t="shared" si="24"/>
        <v>-14.258201036573857</v>
      </c>
      <c r="AI36" s="15">
        <f t="shared" si="25"/>
        <v>26.217912217347198</v>
      </c>
      <c r="AJ36" s="14">
        <f t="shared" si="26"/>
        <v>72.5871056343665</v>
      </c>
      <c r="AK36" s="15">
        <f t="shared" si="27"/>
        <v>11.959711180773342</v>
      </c>
      <c r="AL36" s="15">
        <f t="shared" si="28"/>
        <v>-40.476113253921056</v>
      </c>
    </row>
    <row r="37" spans="1:38" ht="12.75">
      <c r="A37" s="1">
        <f t="shared" si="29"/>
        <v>16126.989480368704</v>
      </c>
      <c r="B37">
        <f t="shared" si="3"/>
        <v>101328.8633653232</v>
      </c>
      <c r="C37" s="4">
        <v>70</v>
      </c>
      <c r="D37">
        <f t="shared" si="0"/>
        <v>70</v>
      </c>
      <c r="E37">
        <f t="shared" si="4"/>
        <v>70</v>
      </c>
      <c r="F37">
        <f t="shared" si="5"/>
        <v>3162.2776601683804</v>
      </c>
      <c r="G37" s="4">
        <v>90.5</v>
      </c>
      <c r="H37">
        <f t="shared" si="1"/>
        <v>90.5</v>
      </c>
      <c r="I37">
        <f t="shared" si="6"/>
        <v>88.98558572123764</v>
      </c>
      <c r="J37">
        <f t="shared" si="7"/>
        <v>28137.096889257587</v>
      </c>
      <c r="K37">
        <f t="shared" si="8"/>
        <v>31299.374549425967</v>
      </c>
      <c r="L37">
        <f t="shared" si="9"/>
        <v>89.91071318387021</v>
      </c>
      <c r="M37">
        <f t="shared" si="10"/>
        <v>0.5634124476093377</v>
      </c>
      <c r="N37">
        <f t="shared" si="11"/>
        <v>0.1428517692471483</v>
      </c>
      <c r="O37">
        <f t="shared" si="12"/>
        <v>0.9660256970776182</v>
      </c>
      <c r="P37" s="10" t="s">
        <v>46</v>
      </c>
      <c r="Q37">
        <f t="shared" si="13"/>
        <v>451.7369586057855</v>
      </c>
      <c r="R37">
        <f t="shared" si="14"/>
        <v>53.09771247148625</v>
      </c>
      <c r="T37">
        <f t="shared" si="15"/>
        <v>27181.158636185544</v>
      </c>
      <c r="U37">
        <f t="shared" si="16"/>
        <v>88.68535930442485</v>
      </c>
      <c r="W37">
        <f t="shared" si="17"/>
        <v>27350.749888940933</v>
      </c>
      <c r="X37">
        <f t="shared" si="18"/>
        <v>88.73938476195534</v>
      </c>
      <c r="Z37" s="14">
        <f t="shared" si="19"/>
        <v>-81.7871011783619</v>
      </c>
      <c r="AA37" s="14">
        <f t="shared" si="20"/>
        <v>209.7879004975813</v>
      </c>
      <c r="AB37" s="1">
        <f t="shared" si="21"/>
        <v>-16.902287528513757</v>
      </c>
      <c r="AC37" s="1">
        <f t="shared" si="22"/>
        <v>-0.30022641681279555</v>
      </c>
      <c r="AE37" s="15">
        <f t="shared" si="30"/>
        <v>-81.7871011783619</v>
      </c>
      <c r="AF37" s="15">
        <f t="shared" si="2"/>
        <v>29.78790049758129</v>
      </c>
      <c r="AG37" s="20">
        <f t="shared" si="23"/>
        <v>0.36828179725158094</v>
      </c>
      <c r="AH37" s="15">
        <f t="shared" si="24"/>
        <v>-11.683432104924524</v>
      </c>
      <c r="AI37" s="15">
        <f t="shared" si="25"/>
        <v>28.775877342654695</v>
      </c>
      <c r="AJ37" s="14">
        <f t="shared" si="26"/>
        <v>68.42499832405682</v>
      </c>
      <c r="AK37" s="15">
        <f t="shared" si="27"/>
        <v>17.09244523773017</v>
      </c>
      <c r="AL37" s="15">
        <f t="shared" si="28"/>
        <v>-40.459309447579216</v>
      </c>
    </row>
    <row r="38" spans="1:38" ht="12.75">
      <c r="A38" s="1">
        <f t="shared" si="29"/>
        <v>20318.73351944509</v>
      </c>
      <c r="B38">
        <f t="shared" si="3"/>
        <v>127666.36792654452</v>
      </c>
      <c r="C38" s="4">
        <v>60</v>
      </c>
      <c r="D38">
        <f t="shared" si="0"/>
        <v>60</v>
      </c>
      <c r="E38">
        <f t="shared" si="4"/>
        <v>60</v>
      </c>
      <c r="F38">
        <f t="shared" si="5"/>
        <v>1000</v>
      </c>
      <c r="G38" s="4">
        <v>88.5</v>
      </c>
      <c r="H38">
        <f t="shared" si="1"/>
        <v>88.5</v>
      </c>
      <c r="I38">
        <f t="shared" si="6"/>
        <v>86.98558572123764</v>
      </c>
      <c r="J38">
        <f t="shared" si="7"/>
        <v>22350.090502310035</v>
      </c>
      <c r="K38">
        <f t="shared" si="8"/>
        <v>23350.090502310035</v>
      </c>
      <c r="L38">
        <f t="shared" si="9"/>
        <v>87.36577136363378</v>
      </c>
      <c r="M38">
        <f t="shared" si="10"/>
        <v>0.5192326032455511</v>
      </c>
      <c r="N38">
        <f t="shared" si="11"/>
        <v>0.11381205074784424</v>
      </c>
      <c r="O38">
        <f t="shared" si="12"/>
        <v>0.9786812776715826</v>
      </c>
      <c r="P38" s="11">
        <f>$H$1/($P$36*$P$36)</f>
        <v>1.439909297052154</v>
      </c>
      <c r="Q38">
        <f t="shared" si="13"/>
        <v>113.81205074784424</v>
      </c>
      <c r="R38">
        <f t="shared" si="14"/>
        <v>41.123764976894385</v>
      </c>
      <c r="T38">
        <f t="shared" si="15"/>
        <v>21873.61512887629</v>
      </c>
      <c r="U38">
        <f t="shared" si="16"/>
        <v>86.79841132675455</v>
      </c>
      <c r="W38">
        <f t="shared" si="17"/>
        <v>21907.869504384318</v>
      </c>
      <c r="X38">
        <f t="shared" si="18"/>
        <v>86.81200290723594</v>
      </c>
      <c r="Z38" s="14">
        <f t="shared" si="19"/>
        <v>-83.46489031003473</v>
      </c>
      <c r="AA38" s="14">
        <f t="shared" si="20"/>
        <v>203.87224425576855</v>
      </c>
      <c r="AB38" s="1">
        <f t="shared" si="21"/>
        <v>-18.876235023105618</v>
      </c>
      <c r="AC38" s="1">
        <f t="shared" si="22"/>
        <v>-0.18717439448309864</v>
      </c>
      <c r="AE38" s="15">
        <f t="shared" si="30"/>
        <v>-83.46489031003473</v>
      </c>
      <c r="AF38" s="15">
        <f t="shared" si="2"/>
        <v>23.87224425576855</v>
      </c>
      <c r="AG38" s="20">
        <f t="shared" si="23"/>
        <v>0.2986072669295035</v>
      </c>
      <c r="AH38" s="15">
        <f t="shared" si="24"/>
        <v>-9.499310331628926</v>
      </c>
      <c r="AI38" s="15">
        <f t="shared" si="25"/>
        <v>23.363318509123662</v>
      </c>
      <c r="AJ38" s="14">
        <f t="shared" si="26"/>
        <v>72.66286543419672</v>
      </c>
      <c r="AK38" s="15">
        <f t="shared" si="27"/>
        <v>13.864008177494735</v>
      </c>
      <c r="AL38" s="15">
        <f t="shared" si="28"/>
        <v>-32.86262884075259</v>
      </c>
    </row>
    <row r="39" spans="1:38" ht="12.75">
      <c r="A39" s="1">
        <f t="shared" si="29"/>
        <v>25600.000070489452</v>
      </c>
      <c r="B39">
        <f t="shared" si="3"/>
        <v>160849.5443276983</v>
      </c>
      <c r="C39" s="4">
        <v>50</v>
      </c>
      <c r="D39">
        <f t="shared" si="0"/>
        <v>50</v>
      </c>
      <c r="E39">
        <f t="shared" si="4"/>
        <v>50</v>
      </c>
      <c r="F39">
        <f t="shared" si="5"/>
        <v>316.22776601683825</v>
      </c>
      <c r="G39" s="4">
        <v>89</v>
      </c>
      <c r="H39">
        <f t="shared" si="1"/>
        <v>89</v>
      </c>
      <c r="I39">
        <f t="shared" si="6"/>
        <v>87.48558572123764</v>
      </c>
      <c r="J39">
        <f t="shared" si="7"/>
        <v>23674.416622621484</v>
      </c>
      <c r="K39">
        <f t="shared" si="8"/>
        <v>23990.64438863832</v>
      </c>
      <c r="L39">
        <f t="shared" si="9"/>
        <v>87.60083826546028</v>
      </c>
      <c r="M39">
        <f t="shared" si="10"/>
        <v>0.4760106114746787</v>
      </c>
      <c r="N39">
        <f t="shared" si="11"/>
        <v>0.09054995673205782</v>
      </c>
      <c r="O39">
        <f t="shared" si="12"/>
        <v>0.9866099729721121</v>
      </c>
      <c r="Q39">
        <f t="shared" si="13"/>
        <v>28.634410530300006</v>
      </c>
      <c r="R39">
        <f t="shared" si="14"/>
        <v>29.137764942580123</v>
      </c>
      <c r="T39">
        <f t="shared" si="15"/>
        <v>23357.415544175103</v>
      </c>
      <c r="U39">
        <f t="shared" si="16"/>
        <v>87.36849574398038</v>
      </c>
      <c r="W39">
        <f t="shared" si="17"/>
        <v>23364.31541596753</v>
      </c>
      <c r="X39">
        <f t="shared" si="18"/>
        <v>87.37106121080319</v>
      </c>
      <c r="Z39" s="14">
        <f t="shared" si="19"/>
        <v>-84.80475480446182</v>
      </c>
      <c r="AA39" s="14">
        <f t="shared" si="20"/>
        <v>199.06603154654482</v>
      </c>
      <c r="AB39" s="1">
        <f t="shared" si="21"/>
        <v>-20.862235057419888</v>
      </c>
      <c r="AC39" s="1">
        <f t="shared" si="22"/>
        <v>-0.11708997725728493</v>
      </c>
      <c r="AE39" s="15">
        <f t="shared" si="30"/>
        <v>-84.80475480446182</v>
      </c>
      <c r="AF39" s="15">
        <f>IF(AA39&lt;180,AA39,90-(270-AA39))</f>
        <v>19.06603154654482</v>
      </c>
      <c r="AG39" s="20">
        <f t="shared" si="23"/>
        <v>0.24038696754968103</v>
      </c>
      <c r="AH39" s="15">
        <f t="shared" si="24"/>
        <v>-7.679066878216791</v>
      </c>
      <c r="AI39" s="15">
        <f t="shared" si="25"/>
        <v>18.810736868822023</v>
      </c>
      <c r="AJ39" s="14">
        <f t="shared" si="26"/>
        <v>76.12921364899336</v>
      </c>
      <c r="AK39" s="15">
        <f t="shared" si="27"/>
        <v>11.131669990605232</v>
      </c>
      <c r="AL39" s="15">
        <f t="shared" si="28"/>
        <v>-26.489803747038813</v>
      </c>
    </row>
    <row r="43" spans="1:5" ht="12.75">
      <c r="A43" s="1" t="s">
        <v>0</v>
      </c>
      <c r="C43" t="s">
        <v>53</v>
      </c>
      <c r="D43" t="s">
        <v>54</v>
      </c>
      <c r="E43" t="s">
        <v>54</v>
      </c>
    </row>
    <row r="44" spans="1:4" ht="12.75">
      <c r="A44" s="1">
        <v>12.5</v>
      </c>
      <c r="C44">
        <v>0</v>
      </c>
      <c r="D44">
        <v>0</v>
      </c>
    </row>
    <row r="45" spans="1:4" ht="12.75">
      <c r="A45" s="1">
        <f>A44*1.25992105</f>
        <v>15.749013125</v>
      </c>
      <c r="C45">
        <v>0</v>
      </c>
      <c r="D45">
        <v>0</v>
      </c>
    </row>
    <row r="46" spans="1:4" ht="12.75">
      <c r="A46" s="1">
        <f>A45*1.25992105</f>
        <v>19.84251315291378</v>
      </c>
      <c r="C46">
        <v>0</v>
      </c>
      <c r="D46">
        <v>0</v>
      </c>
    </row>
    <row r="47" spans="1:4" ht="12.75">
      <c r="A47" s="1">
        <f aca="true" t="shared" si="31" ref="A47:A77">A46*1.25992105</f>
        <v>25.00000000625794</v>
      </c>
      <c r="C47">
        <v>0</v>
      </c>
      <c r="D47">
        <v>0</v>
      </c>
    </row>
    <row r="48" spans="1:4" ht="12.75">
      <c r="A48" s="1">
        <f t="shared" si="31"/>
        <v>31.49802625788451</v>
      </c>
      <c r="C48">
        <v>0</v>
      </c>
      <c r="D48">
        <v>0</v>
      </c>
    </row>
    <row r="49" spans="1:4" ht="12.75">
      <c r="A49" s="1">
        <f t="shared" si="31"/>
        <v>39.68502631576143</v>
      </c>
      <c r="C49">
        <v>0</v>
      </c>
      <c r="D49">
        <v>0</v>
      </c>
    </row>
    <row r="50" spans="1:4" ht="12.75">
      <c r="A50" s="1">
        <f t="shared" si="31"/>
        <v>50.00000002503177</v>
      </c>
      <c r="C50">
        <v>0</v>
      </c>
      <c r="D50">
        <v>0</v>
      </c>
    </row>
    <row r="51" spans="1:4" ht="12.75">
      <c r="A51" s="1">
        <f t="shared" si="31"/>
        <v>62.99605253153805</v>
      </c>
      <c r="C51">
        <v>0</v>
      </c>
      <c r="D51">
        <v>0</v>
      </c>
    </row>
    <row r="52" spans="1:4" ht="12.75">
      <c r="A52" s="1">
        <f t="shared" si="31"/>
        <v>79.37005265139058</v>
      </c>
      <c r="C52">
        <v>0</v>
      </c>
      <c r="D52">
        <v>0</v>
      </c>
    </row>
    <row r="53" spans="1:4" ht="12.75">
      <c r="A53" s="1">
        <f t="shared" si="31"/>
        <v>100.0000000750953</v>
      </c>
      <c r="C53">
        <v>0</v>
      </c>
      <c r="D53">
        <v>0</v>
      </c>
    </row>
    <row r="54" spans="1:4" ht="12.75">
      <c r="A54" s="1">
        <f t="shared" si="31"/>
        <v>125.99210509461415</v>
      </c>
      <c r="C54">
        <v>0</v>
      </c>
      <c r="D54">
        <v>0</v>
      </c>
    </row>
    <row r="55" spans="1:4" ht="12.75">
      <c r="A55" s="1">
        <f t="shared" si="31"/>
        <v>158.7401053425166</v>
      </c>
      <c r="C55">
        <v>0</v>
      </c>
      <c r="D55">
        <v>0</v>
      </c>
    </row>
    <row r="56" spans="1:4" ht="12.75">
      <c r="A56" s="1">
        <f t="shared" si="31"/>
        <v>200.00000020025414</v>
      </c>
      <c r="C56">
        <v>0</v>
      </c>
      <c r="D56">
        <v>0</v>
      </c>
    </row>
    <row r="57" spans="1:4" ht="12.75">
      <c r="A57" s="1">
        <f t="shared" si="31"/>
        <v>251.9842102523044</v>
      </c>
      <c r="C57">
        <v>0</v>
      </c>
      <c r="D57">
        <v>0</v>
      </c>
    </row>
    <row r="58" spans="1:4" ht="12.75">
      <c r="A58" s="1">
        <f t="shared" si="31"/>
        <v>317.48021076450414</v>
      </c>
      <c r="C58">
        <v>0</v>
      </c>
      <c r="D58">
        <v>0</v>
      </c>
    </row>
    <row r="59" spans="1:4" ht="12.75">
      <c r="A59" s="1">
        <f t="shared" si="31"/>
        <v>400.00000050063534</v>
      </c>
      <c r="C59">
        <v>0</v>
      </c>
      <c r="D59">
        <v>0</v>
      </c>
    </row>
    <row r="60" spans="1:4" ht="12.75">
      <c r="A60" s="1">
        <f t="shared" si="31"/>
        <v>503.968420630761</v>
      </c>
      <c r="C60">
        <v>0</v>
      </c>
      <c r="D60">
        <v>0</v>
      </c>
    </row>
    <row r="61" spans="1:4" ht="12.75">
      <c r="A61" s="1">
        <f t="shared" si="31"/>
        <v>634.9604216879501</v>
      </c>
      <c r="C61">
        <v>0</v>
      </c>
      <c r="D61">
        <v>0</v>
      </c>
    </row>
    <row r="62" spans="1:5" ht="12.75">
      <c r="A62" s="1">
        <f t="shared" si="31"/>
        <v>800.0000012015248</v>
      </c>
      <c r="C62">
        <v>0</v>
      </c>
      <c r="D62" s="15">
        <f>E62</f>
        <v>124.17391304347827</v>
      </c>
      <c r="E62" s="15">
        <f>F89</f>
        <v>124.17391304347827</v>
      </c>
    </row>
    <row r="63" spans="1:5" ht="12.75">
      <c r="A63" s="1">
        <f t="shared" si="31"/>
        <v>1007.9368415138264</v>
      </c>
      <c r="C63">
        <v>0</v>
      </c>
      <c r="D63" s="15">
        <f aca="true" t="shared" si="32" ref="D63:D77">E63</f>
        <v>90.26086956521739</v>
      </c>
      <c r="E63" s="15">
        <f aca="true" t="shared" si="33" ref="E63:E77">F90</f>
        <v>90.26086956521739</v>
      </c>
    </row>
    <row r="64" spans="1:5" ht="12.75">
      <c r="A64" s="1">
        <f t="shared" si="31"/>
        <v>1269.9208436937838</v>
      </c>
      <c r="C64">
        <v>0</v>
      </c>
      <c r="D64" s="15">
        <f t="shared" si="32"/>
        <v>118.31304347826088</v>
      </c>
      <c r="E64" s="15">
        <f t="shared" si="33"/>
        <v>118.31304347826088</v>
      </c>
    </row>
    <row r="65" spans="1:5" ht="12.75">
      <c r="A65" s="1">
        <f t="shared" si="31"/>
        <v>1600.000002803558</v>
      </c>
      <c r="C65">
        <v>0</v>
      </c>
      <c r="D65" s="15">
        <f t="shared" si="32"/>
        <v>75.34782608695653</v>
      </c>
      <c r="E65" s="15">
        <f t="shared" si="33"/>
        <v>75.34782608695653</v>
      </c>
    </row>
    <row r="66" spans="1:5" ht="12.75">
      <c r="A66" s="1">
        <f t="shared" si="31"/>
        <v>2015.8736835322616</v>
      </c>
      <c r="C66">
        <v>0</v>
      </c>
      <c r="D66" s="15">
        <f t="shared" si="32"/>
        <v>31.43478260869565</v>
      </c>
      <c r="E66" s="15">
        <f t="shared" si="33"/>
        <v>31.43478260869565</v>
      </c>
    </row>
    <row r="67" spans="1:5" ht="12.75">
      <c r="A67" s="1">
        <f t="shared" si="31"/>
        <v>2539.841688023335</v>
      </c>
      <c r="C67">
        <v>0</v>
      </c>
      <c r="D67" s="15">
        <f t="shared" si="32"/>
        <v>-3.4782608695652186</v>
      </c>
      <c r="E67" s="15">
        <f t="shared" si="33"/>
        <v>-3.4782608695652186</v>
      </c>
    </row>
    <row r="68" spans="1:5" ht="12.75">
      <c r="A68" s="1">
        <f t="shared" si="31"/>
        <v>3200.0000064081323</v>
      </c>
      <c r="C68">
        <v>0</v>
      </c>
      <c r="D68" s="15">
        <f t="shared" si="32"/>
        <v>7.095652173913052</v>
      </c>
      <c r="E68" s="15">
        <f t="shared" si="33"/>
        <v>7.095652173913052</v>
      </c>
    </row>
    <row r="69" spans="1:5" ht="12.75">
      <c r="A69" s="1">
        <f t="shared" si="31"/>
        <v>4031.7473680737407</v>
      </c>
      <c r="C69">
        <v>0</v>
      </c>
      <c r="D69" s="15">
        <f t="shared" si="32"/>
        <v>20.869565217391298</v>
      </c>
      <c r="E69" s="15">
        <f t="shared" si="33"/>
        <v>20.869565217391298</v>
      </c>
    </row>
    <row r="70" spans="1:5" ht="12.75">
      <c r="A70" s="1">
        <f t="shared" si="31"/>
        <v>5079.683377318204</v>
      </c>
      <c r="C70">
        <v>0</v>
      </c>
      <c r="D70" s="15">
        <f t="shared" si="32"/>
        <v>-26.956521739130437</v>
      </c>
      <c r="E70" s="15">
        <f t="shared" si="33"/>
        <v>-26.956521739130437</v>
      </c>
    </row>
    <row r="71" spans="1:5" ht="12.75">
      <c r="A71" s="1">
        <f t="shared" si="31"/>
        <v>6400.000014418298</v>
      </c>
      <c r="C71">
        <v>0</v>
      </c>
      <c r="D71" s="15">
        <f t="shared" si="32"/>
        <v>15.217391304347814</v>
      </c>
      <c r="E71" s="15">
        <f t="shared" si="33"/>
        <v>15.217391304347814</v>
      </c>
    </row>
    <row r="72" spans="1:5" ht="12.75">
      <c r="A72" s="1">
        <f t="shared" si="31"/>
        <v>8063.494738165917</v>
      </c>
      <c r="C72">
        <v>0</v>
      </c>
      <c r="D72" s="15">
        <f t="shared" si="32"/>
        <v>13.391304347826093</v>
      </c>
      <c r="E72" s="15">
        <f t="shared" si="33"/>
        <v>13.391304347826093</v>
      </c>
    </row>
    <row r="73" spans="1:5" ht="12.75">
      <c r="A73" s="1">
        <f t="shared" si="31"/>
        <v>10159.366757179478</v>
      </c>
      <c r="C73">
        <v>0</v>
      </c>
      <c r="D73" s="15">
        <f t="shared" si="32"/>
        <v>-1.4347826086956559</v>
      </c>
      <c r="E73" s="15">
        <f t="shared" si="33"/>
        <v>-1.4347826086956559</v>
      </c>
    </row>
    <row r="74" spans="1:5" ht="12.75">
      <c r="A74" s="1">
        <f t="shared" si="31"/>
        <v>12800.000032040662</v>
      </c>
      <c r="C74">
        <v>0</v>
      </c>
      <c r="D74" s="15">
        <f t="shared" si="32"/>
        <v>-9.260869565217405</v>
      </c>
      <c r="E74" s="15">
        <f t="shared" si="33"/>
        <v>-9.260869565217405</v>
      </c>
    </row>
    <row r="75" spans="1:5" ht="12.75">
      <c r="A75" s="1">
        <f t="shared" si="31"/>
        <v>16126.989480368704</v>
      </c>
      <c r="C75">
        <v>0</v>
      </c>
      <c r="D75" s="15">
        <f t="shared" si="32"/>
        <v>0</v>
      </c>
      <c r="E75" s="15">
        <f t="shared" si="33"/>
        <v>0</v>
      </c>
    </row>
    <row r="76" spans="1:5" ht="12.75">
      <c r="A76" s="1">
        <f t="shared" si="31"/>
        <v>20318.73351944509</v>
      </c>
      <c r="C76">
        <v>0</v>
      </c>
      <c r="D76" s="15">
        <f t="shared" si="32"/>
        <v>0</v>
      </c>
      <c r="E76" s="15">
        <f t="shared" si="33"/>
        <v>0</v>
      </c>
    </row>
    <row r="77" spans="1:5" ht="12.75">
      <c r="A77" s="1">
        <f t="shared" si="31"/>
        <v>25600.000070489452</v>
      </c>
      <c r="C77">
        <v>0</v>
      </c>
      <c r="D77" s="15">
        <f t="shared" si="32"/>
        <v>0</v>
      </c>
      <c r="E77" s="15">
        <f t="shared" si="33"/>
        <v>0</v>
      </c>
    </row>
    <row r="78" spans="1:6" ht="12.75">
      <c r="A78" s="17" t="s">
        <v>60</v>
      </c>
      <c r="B78" s="6"/>
      <c r="C78" s="18">
        <f>$W$1</f>
        <v>1.9</v>
      </c>
      <c r="D78" s="6" t="s">
        <v>59</v>
      </c>
      <c r="E78" s="6"/>
      <c r="F78" s="18">
        <v>345</v>
      </c>
    </row>
    <row r="79" spans="1:6" ht="12.75">
      <c r="A79" s="16" t="s">
        <v>55</v>
      </c>
      <c r="B79" s="16" t="s">
        <v>56</v>
      </c>
      <c r="C79" s="16" t="s">
        <v>57</v>
      </c>
      <c r="D79" s="16" t="s">
        <v>58</v>
      </c>
      <c r="E79" s="16" t="s">
        <v>61</v>
      </c>
      <c r="F79" s="16" t="s">
        <v>62</v>
      </c>
    </row>
    <row r="80" spans="1:6" ht="12.75">
      <c r="A80" s="16">
        <v>100</v>
      </c>
      <c r="B80" s="16">
        <v>7</v>
      </c>
      <c r="C80" s="16">
        <v>1</v>
      </c>
      <c r="D80" s="16"/>
      <c r="E80" s="19"/>
      <c r="F80" s="16"/>
    </row>
    <row r="81" spans="1:6" ht="12.75">
      <c r="A81" s="16">
        <v>200</v>
      </c>
      <c r="B81" s="16">
        <v>7</v>
      </c>
      <c r="C81" s="16">
        <v>1</v>
      </c>
      <c r="D81" s="16"/>
      <c r="E81" s="19"/>
      <c r="F81" s="16"/>
    </row>
    <row r="82" spans="1:6" ht="12.75">
      <c r="A82" s="16">
        <v>300</v>
      </c>
      <c r="B82" s="16">
        <v>7</v>
      </c>
      <c r="C82" s="16">
        <v>1</v>
      </c>
      <c r="D82" s="16"/>
      <c r="E82" s="19"/>
      <c r="F82" s="16"/>
    </row>
    <row r="83" spans="1:6" ht="12.75">
      <c r="A83" s="16">
        <v>400</v>
      </c>
      <c r="B83" s="16">
        <v>7</v>
      </c>
      <c r="C83" s="16">
        <v>1</v>
      </c>
      <c r="D83" s="16"/>
      <c r="E83" s="19"/>
      <c r="F83" s="16"/>
    </row>
    <row r="84" spans="1:6" ht="12.75">
      <c r="A84" s="16">
        <v>500</v>
      </c>
      <c r="B84" s="16">
        <v>8</v>
      </c>
      <c r="C84" s="16">
        <v>1</v>
      </c>
      <c r="D84" s="16"/>
      <c r="E84" s="19"/>
      <c r="F84" s="16"/>
    </row>
    <row r="85" spans="1:6" ht="12.75">
      <c r="A85" s="16">
        <v>600</v>
      </c>
      <c r="B85" s="16">
        <v>8</v>
      </c>
      <c r="C85" s="16">
        <v>1</v>
      </c>
      <c r="D85" s="16"/>
      <c r="E85" s="19"/>
      <c r="F85" s="16"/>
    </row>
    <row r="86" spans="1:6" ht="12.75">
      <c r="A86" s="16">
        <v>700</v>
      </c>
      <c r="B86" s="16">
        <v>8.5</v>
      </c>
      <c r="C86" s="16">
        <v>3.5</v>
      </c>
      <c r="D86" s="16"/>
      <c r="E86" s="19"/>
      <c r="F86" s="16"/>
    </row>
    <row r="87" spans="1:6" ht="12.75">
      <c r="A87" s="16">
        <v>800</v>
      </c>
      <c r="B87" s="16">
        <v>8</v>
      </c>
      <c r="C87" s="16">
        <v>5</v>
      </c>
      <c r="D87" s="16"/>
      <c r="E87" s="19"/>
      <c r="F87" s="16"/>
    </row>
    <row r="88" spans="1:6" ht="12.75">
      <c r="A88" s="16">
        <v>900</v>
      </c>
      <c r="B88" s="16">
        <v>8</v>
      </c>
      <c r="C88" s="16">
        <v>5</v>
      </c>
      <c r="D88" s="16"/>
      <c r="E88" s="19"/>
      <c r="F88" s="16"/>
    </row>
    <row r="89" spans="1:6" ht="12.75">
      <c r="A89" s="16">
        <v>1000</v>
      </c>
      <c r="B89" s="16">
        <v>5.2</v>
      </c>
      <c r="C89" s="16">
        <v>5</v>
      </c>
      <c r="D89" s="16">
        <v>144</v>
      </c>
      <c r="E89" s="19">
        <f>-3.6*$C$78*A89/$F$78</f>
        <v>-19.82608695652174</v>
      </c>
      <c r="F89" s="19">
        <f>D89+E89</f>
        <v>124.17391304347827</v>
      </c>
    </row>
    <row r="90" spans="1:6" ht="12.75">
      <c r="A90" s="16">
        <v>1500</v>
      </c>
      <c r="B90" s="16">
        <v>18</v>
      </c>
      <c r="C90" s="16">
        <v>7</v>
      </c>
      <c r="D90" s="16">
        <v>120</v>
      </c>
      <c r="E90" s="19">
        <f aca="true" t="shared" si="34" ref="E90:E101">-3.6*$C$78*A90/$F$78</f>
        <v>-29.73913043478261</v>
      </c>
      <c r="F90" s="19">
        <f aca="true" t="shared" si="35" ref="F90:F101">D90+E90</f>
        <v>90.26086956521739</v>
      </c>
    </row>
    <row r="91" spans="1:6" ht="12.75">
      <c r="A91" s="16">
        <v>1800</v>
      </c>
      <c r="B91" s="16">
        <v>10</v>
      </c>
      <c r="C91" s="16">
        <v>13.5</v>
      </c>
      <c r="D91" s="16">
        <v>154</v>
      </c>
      <c r="E91" s="19">
        <f t="shared" si="34"/>
        <v>-35.68695652173913</v>
      </c>
      <c r="F91" s="19">
        <f t="shared" si="35"/>
        <v>118.31304347826088</v>
      </c>
    </row>
    <row r="92" spans="1:6" ht="12.75">
      <c r="A92" s="16">
        <v>2000</v>
      </c>
      <c r="B92" s="16">
        <v>11</v>
      </c>
      <c r="C92" s="16">
        <v>12.2</v>
      </c>
      <c r="D92" s="16">
        <v>115</v>
      </c>
      <c r="E92" s="19">
        <f t="shared" si="34"/>
        <v>-39.65217391304348</v>
      </c>
      <c r="F92" s="19">
        <f t="shared" si="35"/>
        <v>75.34782608695653</v>
      </c>
    </row>
    <row r="93" spans="1:6" ht="12.75">
      <c r="A93" s="16">
        <v>2500</v>
      </c>
      <c r="B93" s="16">
        <v>9.8</v>
      </c>
      <c r="C93" s="16">
        <v>14</v>
      </c>
      <c r="D93" s="16">
        <v>81</v>
      </c>
      <c r="E93" s="19">
        <f t="shared" si="34"/>
        <v>-49.56521739130435</v>
      </c>
      <c r="F93" s="19">
        <f t="shared" si="35"/>
        <v>31.43478260869565</v>
      </c>
    </row>
    <row r="94" spans="1:6" ht="12.75">
      <c r="A94" s="16">
        <v>3000</v>
      </c>
      <c r="B94" s="16">
        <v>8.2</v>
      </c>
      <c r="C94" s="16">
        <v>11</v>
      </c>
      <c r="D94" s="16">
        <v>56</v>
      </c>
      <c r="E94" s="19">
        <f t="shared" si="34"/>
        <v>-59.47826086956522</v>
      </c>
      <c r="F94" s="19">
        <f t="shared" si="35"/>
        <v>-3.4782608695652186</v>
      </c>
    </row>
    <row r="95" spans="1:6" ht="12.75">
      <c r="A95" s="16">
        <v>4000</v>
      </c>
      <c r="B95" s="16">
        <v>5.2</v>
      </c>
      <c r="C95" s="16">
        <v>5.5</v>
      </c>
      <c r="D95" s="16">
        <v>86.4</v>
      </c>
      <c r="E95" s="19">
        <f t="shared" si="34"/>
        <v>-79.30434782608695</v>
      </c>
      <c r="F95" s="19">
        <f t="shared" si="35"/>
        <v>7.095652173913052</v>
      </c>
    </row>
    <row r="96" spans="1:6" ht="12.75">
      <c r="A96" s="16">
        <v>5000</v>
      </c>
      <c r="B96" s="16">
        <v>4.8</v>
      </c>
      <c r="C96" s="16">
        <v>7</v>
      </c>
      <c r="D96" s="16">
        <v>120</v>
      </c>
      <c r="E96" s="19">
        <f t="shared" si="34"/>
        <v>-99.1304347826087</v>
      </c>
      <c r="F96" s="19">
        <f t="shared" si="35"/>
        <v>20.869565217391298</v>
      </c>
    </row>
    <row r="97" spans="1:6" ht="12.75">
      <c r="A97" s="16">
        <v>6000</v>
      </c>
      <c r="B97" s="16">
        <v>5.5</v>
      </c>
      <c r="C97" s="16">
        <v>8</v>
      </c>
      <c r="D97" s="16">
        <v>92</v>
      </c>
      <c r="E97" s="19">
        <f t="shared" si="34"/>
        <v>-118.95652173913044</v>
      </c>
      <c r="F97" s="19">
        <f t="shared" si="35"/>
        <v>-26.956521739130437</v>
      </c>
    </row>
    <row r="98" spans="1:6" ht="12.75">
      <c r="A98" s="16">
        <v>7000</v>
      </c>
      <c r="B98" s="16">
        <v>5.5</v>
      </c>
      <c r="C98" s="16">
        <v>7</v>
      </c>
      <c r="D98" s="16">
        <v>154</v>
      </c>
      <c r="E98" s="19">
        <f t="shared" si="34"/>
        <v>-138.7826086956522</v>
      </c>
      <c r="F98" s="19">
        <f t="shared" si="35"/>
        <v>15.217391304347814</v>
      </c>
    </row>
    <row r="99" spans="1:6" ht="12.75">
      <c r="A99" s="16">
        <v>8000</v>
      </c>
      <c r="B99" s="16">
        <v>5</v>
      </c>
      <c r="C99" s="16">
        <v>6.5</v>
      </c>
      <c r="D99" s="16">
        <v>172</v>
      </c>
      <c r="E99" s="19">
        <f t="shared" si="34"/>
        <v>-158.6086956521739</v>
      </c>
      <c r="F99" s="19">
        <f t="shared" si="35"/>
        <v>13.391304347826093</v>
      </c>
    </row>
    <row r="100" spans="1:6" ht="12.75">
      <c r="A100" s="16">
        <v>9000</v>
      </c>
      <c r="B100" s="16">
        <v>4</v>
      </c>
      <c r="C100" s="16">
        <v>5.5</v>
      </c>
      <c r="D100" s="16">
        <v>177</v>
      </c>
      <c r="E100" s="19">
        <f t="shared" si="34"/>
        <v>-178.43478260869566</v>
      </c>
      <c r="F100" s="19">
        <f t="shared" si="35"/>
        <v>-1.4347826086956559</v>
      </c>
    </row>
    <row r="101" spans="1:6" ht="12.75">
      <c r="A101" s="16">
        <v>10000</v>
      </c>
      <c r="B101" s="16">
        <v>2</v>
      </c>
      <c r="C101" s="16">
        <v>3.2</v>
      </c>
      <c r="D101" s="16">
        <v>189</v>
      </c>
      <c r="E101" s="19">
        <f t="shared" si="34"/>
        <v>-198.2608695652174</v>
      </c>
      <c r="F101" s="19">
        <f t="shared" si="35"/>
        <v>-9.260869565217405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zmej</cp:lastModifiedBy>
  <cp:lastPrinted>2001-10-10T20:55:06Z</cp:lastPrinted>
  <dcterms:created xsi:type="dcterms:W3CDTF">1996-10-14T23:33:28Z</dcterms:created>
  <dcterms:modified xsi:type="dcterms:W3CDTF">2004-06-17T13:01:25Z</dcterms:modified>
  <cp:category/>
  <cp:version/>
  <cp:contentType/>
  <cp:contentStatus/>
</cp:coreProperties>
</file>